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ENTSOG\170834_entsog_TAR-NC_paper_iDoc_update\Daten_geliefert\170904\Annexes_complete\"/>
    </mc:Choice>
  </mc:AlternateContent>
  <bookViews>
    <workbookView xWindow="0" yWindow="0" windowWidth="28575" windowHeight="13560" xr2:uid="{00000000-000D-0000-FFFF-FFFF00000000}"/>
  </bookViews>
  <sheets>
    <sheet name="Cover" sheetId="8" r:id="rId1"/>
    <sheet name="Capacity CAA" sheetId="6" r:id="rId2"/>
    <sheet name="Commodity CAA" sheetId="7" r:id="rId3"/>
  </sheets>
  <calcPr calcId="171027"/>
</workbook>
</file>

<file path=xl/calcChain.xml><?xml version="1.0" encoding="utf-8"?>
<calcChain xmlns="http://schemas.openxmlformats.org/spreadsheetml/2006/main">
  <c r="K25" i="7" l="1"/>
  <c r="I35" i="7" l="1"/>
  <c r="I36" i="7" s="1"/>
  <c r="I37" i="7" s="1"/>
  <c r="I38" i="7" s="1"/>
  <c r="I21" i="7" l="1"/>
  <c r="I20" i="7"/>
  <c r="I19" i="7"/>
  <c r="I18" i="7"/>
  <c r="I17" i="7"/>
  <c r="E27" i="7"/>
  <c r="F27" i="7"/>
  <c r="G27" i="7"/>
  <c r="H27" i="7"/>
  <c r="D27" i="7"/>
  <c r="Q18" i="7"/>
  <c r="Q19" i="7"/>
  <c r="Q20" i="7"/>
  <c r="Q21" i="7"/>
  <c r="Q17" i="7"/>
  <c r="E30" i="7" l="1"/>
  <c r="P17" i="7"/>
  <c r="H31" i="7"/>
  <c r="I31" i="7"/>
  <c r="J31" i="7"/>
  <c r="K31" i="7"/>
  <c r="E36" i="7" s="1"/>
  <c r="G31" i="7"/>
  <c r="E31" i="7" l="1"/>
  <c r="E29" i="7"/>
  <c r="E37" i="7"/>
  <c r="P19" i="7"/>
  <c r="P21" i="7"/>
  <c r="K4" i="7"/>
  <c r="P18" i="7"/>
  <c r="P20" i="7"/>
  <c r="L4" i="7"/>
  <c r="N4" i="7"/>
  <c r="L12" i="7" l="1"/>
  <c r="L11" i="7"/>
  <c r="L10" i="7"/>
  <c r="L9" i="7"/>
  <c r="L8" i="7"/>
  <c r="O4" i="7"/>
  <c r="H23" i="7" s="1"/>
  <c r="E42" i="7" s="1"/>
  <c r="M4" i="7"/>
  <c r="F23" i="7" s="1"/>
  <c r="E23" i="7"/>
  <c r="D23" i="7"/>
  <c r="M9" i="6" l="1"/>
  <c r="M12" i="6"/>
  <c r="M11" i="6"/>
  <c r="M10" i="6"/>
  <c r="M8" i="6"/>
  <c r="N4" i="6"/>
  <c r="G23" i="6" s="1"/>
  <c r="L4" i="6"/>
  <c r="E23" i="6" s="1"/>
  <c r="K4" i="6"/>
  <c r="D23" i="6" s="1"/>
  <c r="E37" i="6" l="1"/>
  <c r="E36" i="6"/>
  <c r="N17" i="6" l="1"/>
  <c r="L17" i="6" s="1"/>
  <c r="N20" i="6"/>
  <c r="L20" i="6" s="1"/>
  <c r="N19" i="6"/>
  <c r="L19" i="6" s="1"/>
  <c r="N18" i="6"/>
  <c r="L18" i="6" s="1"/>
  <c r="N21" i="6" l="1"/>
  <c r="L21" i="6" s="1"/>
  <c r="M19" i="6"/>
  <c r="E35" i="6" l="1"/>
  <c r="E39" i="6" s="1"/>
  <c r="N22" i="6"/>
  <c r="M18" i="6"/>
  <c r="M20" i="6"/>
  <c r="M17" i="6"/>
  <c r="M21" i="6" l="1"/>
  <c r="L8" i="6"/>
  <c r="K17" i="6" s="1"/>
  <c r="M22" i="6" l="1"/>
  <c r="L9" i="6"/>
  <c r="K18" i="6" s="1"/>
  <c r="L10" i="6"/>
  <c r="K19" i="6" s="1"/>
  <c r="L11" i="6"/>
  <c r="K20" i="6" s="1"/>
  <c r="L12" i="6"/>
  <c r="K21" i="6" s="1"/>
  <c r="E41" i="6" l="1"/>
  <c r="M4" i="6" l="1"/>
  <c r="F23" i="6" s="1"/>
  <c r="E31" i="6"/>
  <c r="E34" i="6" s="1"/>
  <c r="E38" i="6" s="1"/>
  <c r="O4" i="6" l="1"/>
  <c r="H23" i="6" s="1"/>
  <c r="E42" i="6" s="1"/>
  <c r="E29" i="6"/>
  <c r="E32" i="6" s="1"/>
  <c r="E45" i="6" l="1"/>
  <c r="E44" i="6"/>
  <c r="E43" i="6"/>
  <c r="E46" i="6" l="1"/>
  <c r="I43" i="6" l="1"/>
  <c r="I44" i="6"/>
  <c r="I45" i="6" l="1"/>
  <c r="G26" i="7" l="1"/>
  <c r="M12" i="7"/>
  <c r="F26" i="7"/>
  <c r="M9" i="7"/>
  <c r="H26" i="7"/>
  <c r="E26" i="7"/>
  <c r="M8" i="7"/>
  <c r="M11" i="7"/>
  <c r="D26" i="7"/>
  <c r="M10" i="7"/>
  <c r="N19" i="7"/>
  <c r="M19" i="7" s="1"/>
  <c r="K19" i="7" s="1"/>
  <c r="N21" i="7"/>
  <c r="M21" i="7" s="1"/>
  <c r="K21" i="7" s="1"/>
  <c r="N18" i="7"/>
  <c r="M18" i="7" s="1"/>
  <c r="K18" i="7" s="1"/>
  <c r="N20" i="7"/>
  <c r="G23" i="7"/>
  <c r="E45" i="7" s="1"/>
  <c r="N17" i="7"/>
  <c r="M17" i="7" l="1"/>
  <c r="E35" i="7"/>
  <c r="E39" i="7" s="1"/>
  <c r="L21" i="7"/>
  <c r="L18" i="7"/>
  <c r="L20" i="7"/>
  <c r="L19" i="7"/>
  <c r="L17" i="7"/>
  <c r="M20" i="7"/>
  <c r="K20" i="7" s="1"/>
  <c r="N22" i="7"/>
  <c r="E34" i="7" l="1"/>
  <c r="E38" i="7" s="1"/>
  <c r="K17" i="7"/>
  <c r="E41" i="7" s="1"/>
  <c r="E43" i="7" s="1"/>
  <c r="M22" i="7"/>
  <c r="E44" i="7"/>
  <c r="E46" i="7" s="1"/>
  <c r="I46" i="7" s="1"/>
  <c r="I45" i="7" l="1"/>
  <c r="I47" i="7" s="1"/>
</calcChain>
</file>

<file path=xl/sharedStrings.xml><?xml version="1.0" encoding="utf-8"?>
<sst xmlns="http://schemas.openxmlformats.org/spreadsheetml/2006/main" count="174" uniqueCount="58">
  <si>
    <t>Total</t>
  </si>
  <si>
    <t>Consumption</t>
  </si>
  <si>
    <t>Exit</t>
  </si>
  <si>
    <t>Distance (km)</t>
  </si>
  <si>
    <t>Capacity (GWh/d)</t>
  </si>
  <si>
    <t>Entry</t>
  </si>
  <si>
    <t>Entry revenues</t>
  </si>
  <si>
    <t xml:space="preserve">Exit revenues </t>
  </si>
  <si>
    <t>Entry Tariffs</t>
  </si>
  <si>
    <t>Exit tariffs</t>
  </si>
  <si>
    <t>Ratio intra</t>
  </si>
  <si>
    <t>Ratio cross</t>
  </si>
  <si>
    <t>Cost driver for Intra</t>
  </si>
  <si>
    <t>Cost driver for Cross</t>
  </si>
  <si>
    <t>TEST</t>
  </si>
  <si>
    <t>Entry share</t>
  </si>
  <si>
    <t>Exit share</t>
  </si>
  <si>
    <t>Entry Cap (Intra-Use)</t>
  </si>
  <si>
    <t>Driver for each Entry (Intra-Use)</t>
  </si>
  <si>
    <t>Driver for each Entry (Cross-Use)</t>
  </si>
  <si>
    <t>Average distance (km) for each exit point to the group of entry points</t>
  </si>
  <si>
    <t>Drivers for Exit Points</t>
  </si>
  <si>
    <t>Entry Cap (Cross-Use)</t>
  </si>
  <si>
    <t>Cost driver for Entry Intra</t>
  </si>
  <si>
    <t>Cost driver for Exit Intra</t>
  </si>
  <si>
    <t>Cost driver for Entry Cross</t>
  </si>
  <si>
    <t>Cost driver for Exit Cross</t>
  </si>
  <si>
    <t>justification required</t>
  </si>
  <si>
    <t xml:space="preserve">Average distance (km) for each entry point </t>
  </si>
  <si>
    <t>to intra exits</t>
  </si>
  <si>
    <t>to cross exits</t>
  </si>
  <si>
    <t>Totals:</t>
  </si>
  <si>
    <t>Entry revenues dedicated for Intra</t>
  </si>
  <si>
    <t>Entry revenues dedicated for Cross</t>
  </si>
  <si>
    <t>Exit revenues from Intra</t>
  </si>
  <si>
    <t>Revenue for Intra</t>
  </si>
  <si>
    <t>Exit revenues from Cross</t>
  </si>
  <si>
    <t>Revenue for Cross</t>
  </si>
  <si>
    <t>Acc. to Art 5(5)(b)</t>
  </si>
  <si>
    <t>LNG</t>
  </si>
  <si>
    <t>IP 1</t>
  </si>
  <si>
    <t>IP 2</t>
  </si>
  <si>
    <t>IP 3</t>
  </si>
  <si>
    <t>IP Exit 5</t>
  </si>
  <si>
    <t>IP Entry 4</t>
  </si>
  <si>
    <t>Acc. to Art 5(5)(a)</t>
  </si>
  <si>
    <t>Exit tariffs (€/GWh)</t>
  </si>
  <si>
    <t>Entry Tariffs (€/GWh)</t>
  </si>
  <si>
    <t>Entry Comm (Intra-Use)</t>
  </si>
  <si>
    <t>Entry Comm (Cross-Use)</t>
  </si>
  <si>
    <t>Capacity revenue (€)</t>
  </si>
  <si>
    <t>Commodity revenue (€)</t>
  </si>
  <si>
    <t>Capacity</t>
  </si>
  <si>
    <t>Ratio (cap)</t>
  </si>
  <si>
    <t>Ratio (comm)</t>
  </si>
  <si>
    <t>Commodity (TWh)</t>
  </si>
  <si>
    <t>Acc. to Art 5(5)(c)</t>
  </si>
  <si>
    <t>CAA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</si>
</sst>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_€"/>
    <numFmt numFmtId="165" formatCode="0.0000"/>
    <numFmt numFmtId="166" formatCode="#,##0.0\ _€"/>
    <numFmt numFmtId="167" formatCode="#,##0.00\ _€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E6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171">
    <xf numFmtId="0" fontId="0" fillId="0" borderId="0" xfId="0"/>
    <xf numFmtId="0" fontId="3" fillId="0" borderId="0" xfId="0" applyFont="1"/>
    <xf numFmtId="0" fontId="3" fillId="2" borderId="0" xfId="0" applyFont="1" applyFill="1"/>
    <xf numFmtId="0" fontId="4" fillId="2" borderId="0" xfId="2" applyFont="1" applyFill="1"/>
    <xf numFmtId="0" fontId="5" fillId="3" borderId="14" xfId="2" applyFont="1" applyFill="1" applyBorder="1" applyAlignment="1">
      <alignment horizontal="center"/>
    </xf>
    <xf numFmtId="0" fontId="5" fillId="3" borderId="15" xfId="2" applyFont="1" applyFill="1" applyBorder="1" applyAlignment="1">
      <alignment horizontal="center"/>
    </xf>
    <xf numFmtId="0" fontId="5" fillId="3" borderId="16" xfId="2" applyFont="1" applyFill="1" applyBorder="1" applyAlignment="1">
      <alignment horizontal="center"/>
    </xf>
    <xf numFmtId="0" fontId="6" fillId="2" borderId="0" xfId="2" applyFont="1" applyFill="1" applyAlignment="1">
      <alignment horizontal="right"/>
    </xf>
    <xf numFmtId="0" fontId="5" fillId="3" borderId="2" xfId="2" applyFont="1" applyFill="1" applyBorder="1"/>
    <xf numFmtId="1" fontId="4" fillId="4" borderId="5" xfId="2" applyNumberFormat="1" applyFont="1" applyFill="1" applyBorder="1" applyAlignment="1">
      <alignment horizontal="center"/>
    </xf>
    <xf numFmtId="1" fontId="4" fillId="4" borderId="6" xfId="2" applyNumberFormat="1" applyFont="1" applyFill="1" applyBorder="1" applyAlignment="1">
      <alignment horizontal="center"/>
    </xf>
    <xf numFmtId="1" fontId="4" fillId="4" borderId="7" xfId="2" applyNumberFormat="1" applyFont="1" applyFill="1" applyBorder="1" applyAlignment="1">
      <alignment horizontal="center"/>
    </xf>
    <xf numFmtId="0" fontId="5" fillId="3" borderId="4" xfId="2" applyFont="1" applyFill="1" applyBorder="1"/>
    <xf numFmtId="1" fontId="4" fillId="4" borderId="8" xfId="2" applyNumberFormat="1" applyFont="1" applyFill="1" applyBorder="1" applyAlignment="1">
      <alignment horizontal="center"/>
    </xf>
    <xf numFmtId="1" fontId="4" fillId="4" borderId="9" xfId="2" applyNumberFormat="1" applyFont="1" applyFill="1" applyBorder="1" applyAlignment="1">
      <alignment horizontal="center"/>
    </xf>
    <xf numFmtId="1" fontId="4" fillId="4" borderId="10" xfId="2" applyNumberFormat="1" applyFont="1" applyFill="1" applyBorder="1" applyAlignment="1">
      <alignment horizontal="center"/>
    </xf>
    <xf numFmtId="0" fontId="5" fillId="3" borderId="3" xfId="2" applyFont="1" applyFill="1" applyBorder="1"/>
    <xf numFmtId="1" fontId="4" fillId="4" borderId="11" xfId="2" applyNumberFormat="1" applyFont="1" applyFill="1" applyBorder="1" applyAlignment="1">
      <alignment horizontal="center"/>
    </xf>
    <xf numFmtId="1" fontId="4" fillId="4" borderId="12" xfId="2" applyNumberFormat="1" applyFont="1" applyFill="1" applyBorder="1" applyAlignment="1">
      <alignment horizontal="center"/>
    </xf>
    <xf numFmtId="1" fontId="4" fillId="4" borderId="13" xfId="2" applyNumberFormat="1" applyFont="1" applyFill="1" applyBorder="1" applyAlignment="1">
      <alignment horizontal="center"/>
    </xf>
    <xf numFmtId="164" fontId="3" fillId="0" borderId="5" xfId="2" applyNumberFormat="1" applyFont="1" applyFill="1" applyBorder="1" applyAlignment="1">
      <alignment horizontal="center"/>
    </xf>
    <xf numFmtId="164" fontId="3" fillId="0" borderId="6" xfId="2" applyNumberFormat="1" applyFont="1" applyFill="1" applyBorder="1" applyAlignment="1">
      <alignment horizontal="center"/>
    </xf>
    <xf numFmtId="164" fontId="3" fillId="0" borderId="7" xfId="2" applyNumberFormat="1" applyFont="1" applyFill="1" applyBorder="1" applyAlignment="1">
      <alignment horizontal="center"/>
    </xf>
    <xf numFmtId="164" fontId="3" fillId="0" borderId="9" xfId="2" applyNumberFormat="1" applyFont="1" applyFill="1" applyBorder="1" applyAlignment="1">
      <alignment horizontal="center"/>
    </xf>
    <xf numFmtId="164" fontId="3" fillId="0" borderId="8" xfId="2" applyNumberFormat="1" applyFont="1" applyFill="1" applyBorder="1" applyAlignment="1">
      <alignment horizontal="center"/>
    </xf>
    <xf numFmtId="164" fontId="3" fillId="0" borderId="10" xfId="2" applyNumberFormat="1" applyFont="1" applyFill="1" applyBorder="1" applyAlignment="1">
      <alignment horizontal="center"/>
    </xf>
    <xf numFmtId="164" fontId="3" fillId="0" borderId="11" xfId="2" applyNumberFormat="1" applyFont="1" applyFill="1" applyBorder="1" applyAlignment="1">
      <alignment horizontal="center"/>
    </xf>
    <xf numFmtId="164" fontId="3" fillId="0" borderId="12" xfId="2" applyNumberFormat="1" applyFont="1" applyFill="1" applyBorder="1" applyAlignment="1">
      <alignment horizontal="center"/>
    </xf>
    <xf numFmtId="164" fontId="3" fillId="0" borderId="13" xfId="2" applyNumberFormat="1" applyFont="1" applyFill="1" applyBorder="1" applyAlignment="1">
      <alignment horizontal="center"/>
    </xf>
    <xf numFmtId="0" fontId="5" fillId="3" borderId="20" xfId="2" applyFont="1" applyFill="1" applyBorder="1"/>
    <xf numFmtId="164" fontId="3" fillId="4" borderId="24" xfId="2" applyNumberFormat="1" applyFont="1" applyFill="1" applyBorder="1" applyAlignment="1">
      <alignment horizontal="center"/>
    </xf>
    <xf numFmtId="164" fontId="3" fillId="2" borderId="23" xfId="2" applyNumberFormat="1" applyFont="1" applyFill="1" applyBorder="1" applyAlignment="1">
      <alignment horizontal="center"/>
    </xf>
    <xf numFmtId="0" fontId="8" fillId="0" borderId="0" xfId="0" applyFont="1"/>
    <xf numFmtId="1" fontId="3" fillId="0" borderId="9" xfId="0" applyNumberFormat="1" applyFont="1" applyBorder="1"/>
    <xf numFmtId="0" fontId="3" fillId="0" borderId="29" xfId="0" applyFont="1" applyBorder="1"/>
    <xf numFmtId="0" fontId="3" fillId="0" borderId="31" xfId="0" applyFont="1" applyBorder="1"/>
    <xf numFmtId="0" fontId="3" fillId="0" borderId="30" xfId="0" applyFont="1" applyBorder="1"/>
    <xf numFmtId="0" fontId="3" fillId="2" borderId="0" xfId="0" applyFont="1" applyFill="1" applyAlignment="1">
      <alignment wrapText="1"/>
    </xf>
    <xf numFmtId="0" fontId="6" fillId="2" borderId="0" xfId="2" applyFont="1" applyFill="1" applyAlignment="1">
      <alignment horizontal="right" wrapText="1"/>
    </xf>
    <xf numFmtId="0" fontId="5" fillId="3" borderId="1" xfId="2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5" fillId="3" borderId="9" xfId="2" applyFont="1" applyFill="1" applyBorder="1" applyAlignment="1">
      <alignment wrapText="1"/>
    </xf>
    <xf numFmtId="0" fontId="3" fillId="0" borderId="0" xfId="0" applyFont="1" applyFill="1"/>
    <xf numFmtId="1" fontId="7" fillId="0" borderId="9" xfId="0" applyNumberFormat="1" applyFont="1" applyBorder="1"/>
    <xf numFmtId="164" fontId="7" fillId="0" borderId="9" xfId="2" applyNumberFormat="1" applyFont="1" applyFill="1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10" fillId="0" borderId="32" xfId="0" applyFont="1" applyBorder="1"/>
    <xf numFmtId="164" fontId="3" fillId="2" borderId="0" xfId="0" applyNumberFormat="1" applyFont="1" applyFill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7" fillId="0" borderId="9" xfId="2" applyFont="1" applyFill="1" applyBorder="1" applyAlignment="1">
      <alignment horizontal="center" wrapText="1"/>
    </xf>
    <xf numFmtId="0" fontId="5" fillId="2" borderId="0" xfId="2" applyFont="1" applyFill="1" applyBorder="1"/>
    <xf numFmtId="1" fontId="3" fillId="2" borderId="0" xfId="0" applyNumberFormat="1" applyFont="1" applyFill="1" applyBorder="1"/>
    <xf numFmtId="1" fontId="7" fillId="2" borderId="0" xfId="0" applyNumberFormat="1" applyFont="1" applyFill="1" applyBorder="1"/>
    <xf numFmtId="164" fontId="4" fillId="2" borderId="9" xfId="2" applyNumberFormat="1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 wrapText="1"/>
    </xf>
    <xf numFmtId="164" fontId="11" fillId="2" borderId="9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3" fillId="2" borderId="0" xfId="0" applyFont="1" applyFill="1" applyBorder="1"/>
    <xf numFmtId="0" fontId="8" fillId="2" borderId="0" xfId="0" applyFont="1" applyFill="1" applyBorder="1"/>
    <xf numFmtId="0" fontId="9" fillId="2" borderId="0" xfId="0" applyFont="1" applyFill="1" applyBorder="1"/>
    <xf numFmtId="3" fontId="3" fillId="2" borderId="0" xfId="0" applyNumberFormat="1" applyFont="1" applyFill="1"/>
    <xf numFmtId="0" fontId="7" fillId="2" borderId="0" xfId="0" applyFont="1" applyFill="1" applyBorder="1"/>
    <xf numFmtId="3" fontId="4" fillId="2" borderId="0" xfId="0" applyNumberFormat="1" applyFont="1" applyFill="1"/>
    <xf numFmtId="3" fontId="7" fillId="2" borderId="0" xfId="0" applyNumberFormat="1" applyFont="1" applyFill="1"/>
    <xf numFmtId="0" fontId="12" fillId="2" borderId="9" xfId="0" applyFont="1" applyFill="1" applyBorder="1"/>
    <xf numFmtId="0" fontId="12" fillId="2" borderId="9" xfId="0" applyFont="1" applyFill="1" applyBorder="1" applyAlignment="1">
      <alignment horizontal="center"/>
    </xf>
    <xf numFmtId="165" fontId="12" fillId="2" borderId="9" xfId="0" applyNumberFormat="1" applyFont="1" applyFill="1" applyBorder="1" applyAlignment="1">
      <alignment horizontal="center"/>
    </xf>
    <xf numFmtId="10" fontId="12" fillId="2" borderId="9" xfId="1" applyNumberFormat="1" applyFont="1" applyFill="1" applyBorder="1" applyAlignment="1">
      <alignment horizontal="center"/>
    </xf>
    <xf numFmtId="3" fontId="11" fillId="2" borderId="0" xfId="0" applyNumberFormat="1" applyFont="1" applyFill="1"/>
    <xf numFmtId="3" fontId="7" fillId="2" borderId="0" xfId="0" applyNumberFormat="1" applyFont="1" applyFill="1" applyAlignment="1"/>
    <xf numFmtId="0" fontId="8" fillId="4" borderId="0" xfId="0" applyFont="1" applyFill="1" applyAlignment="1">
      <alignment horizontal="center" vertical="center"/>
    </xf>
    <xf numFmtId="0" fontId="13" fillId="0" borderId="0" xfId="0" applyFont="1"/>
    <xf numFmtId="0" fontId="13" fillId="2" borderId="0" xfId="0" applyFont="1" applyFill="1"/>
    <xf numFmtId="0" fontId="13" fillId="0" borderId="0" xfId="0" applyFont="1" applyFill="1"/>
    <xf numFmtId="164" fontId="13" fillId="2" borderId="0" xfId="2" applyNumberFormat="1" applyFont="1" applyFill="1" applyBorder="1" applyAlignment="1">
      <alignment horizontal="center"/>
    </xf>
    <xf numFmtId="164" fontId="8" fillId="4" borderId="28" xfId="2" applyNumberFormat="1" applyFont="1" applyFill="1" applyBorder="1" applyAlignment="1">
      <alignment horizontal="center"/>
    </xf>
    <xf numFmtId="3" fontId="3" fillId="2" borderId="0" xfId="0" applyNumberFormat="1" applyFont="1" applyFill="1" applyBorder="1"/>
    <xf numFmtId="3" fontId="4" fillId="2" borderId="0" xfId="0" applyNumberFormat="1" applyFont="1" applyFill="1" applyAlignment="1"/>
    <xf numFmtId="0" fontId="8" fillId="4" borderId="0" xfId="0" applyFont="1" applyFill="1" applyAlignment="1">
      <alignment horizontal="center" vertical="center" wrapText="1"/>
    </xf>
    <xf numFmtId="164" fontId="4" fillId="2" borderId="15" xfId="2" applyNumberFormat="1" applyFont="1" applyFill="1" applyBorder="1" applyAlignment="1">
      <alignment horizontal="center"/>
    </xf>
    <xf numFmtId="9" fontId="4" fillId="2" borderId="15" xfId="1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wrapText="1"/>
    </xf>
    <xf numFmtId="164" fontId="4" fillId="4" borderId="2" xfId="2" applyNumberFormat="1" applyFont="1" applyFill="1" applyBorder="1" applyAlignment="1">
      <alignment horizontal="center"/>
    </xf>
    <xf numFmtId="164" fontId="4" fillId="4" borderId="4" xfId="2" applyNumberFormat="1" applyFont="1" applyFill="1" applyBorder="1" applyAlignment="1">
      <alignment horizontal="center"/>
    </xf>
    <xf numFmtId="164" fontId="4" fillId="4" borderId="3" xfId="2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Alignment="1">
      <alignment vertical="center" wrapText="1"/>
    </xf>
    <xf numFmtId="0" fontId="10" fillId="0" borderId="33" xfId="0" applyFont="1" applyBorder="1"/>
    <xf numFmtId="0" fontId="5" fillId="3" borderId="7" xfId="2" applyFont="1" applyFill="1" applyBorder="1"/>
    <xf numFmtId="0" fontId="5" fillId="3" borderId="10" xfId="2" applyFont="1" applyFill="1" applyBorder="1"/>
    <xf numFmtId="0" fontId="10" fillId="2" borderId="0" xfId="0" applyFont="1" applyFill="1" applyBorder="1" applyAlignment="1">
      <alignment wrapText="1"/>
    </xf>
    <xf numFmtId="0" fontId="8" fillId="2" borderId="0" xfId="0" applyFont="1" applyFill="1"/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/>
    <xf numFmtId="164" fontId="12" fillId="0" borderId="0" xfId="2" applyNumberFormat="1" applyFont="1" applyFill="1" applyBorder="1" applyAlignment="1">
      <alignment horizontal="center"/>
    </xf>
    <xf numFmtId="164" fontId="4" fillId="0" borderId="0" xfId="2" applyNumberFormat="1" applyFont="1" applyFill="1" applyBorder="1" applyAlignment="1">
      <alignment horizontal="center"/>
    </xf>
    <xf numFmtId="1" fontId="4" fillId="0" borderId="0" xfId="0" applyNumberFormat="1" applyFont="1" applyFill="1" applyBorder="1"/>
    <xf numFmtId="9" fontId="12" fillId="0" borderId="0" xfId="1" applyFont="1" applyFill="1" applyBorder="1"/>
    <xf numFmtId="9" fontId="4" fillId="0" borderId="0" xfId="1" applyFont="1" applyFill="1" applyBorder="1"/>
    <xf numFmtId="3" fontId="4" fillId="0" borderId="0" xfId="0" applyNumberFormat="1" applyFont="1" applyFill="1" applyBorder="1"/>
    <xf numFmtId="0" fontId="5" fillId="6" borderId="14" xfId="2" applyFont="1" applyFill="1" applyBorder="1" applyAlignment="1">
      <alignment horizontal="center"/>
    </xf>
    <xf numFmtId="0" fontId="5" fillId="6" borderId="15" xfId="2" applyFont="1" applyFill="1" applyBorder="1" applyAlignment="1">
      <alignment horizontal="center"/>
    </xf>
    <xf numFmtId="0" fontId="5" fillId="6" borderId="16" xfId="2" applyFont="1" applyFill="1" applyBorder="1" applyAlignment="1">
      <alignment horizontal="center"/>
    </xf>
    <xf numFmtId="0" fontId="5" fillId="6" borderId="2" xfId="2" applyFont="1" applyFill="1" applyBorder="1"/>
    <xf numFmtId="0" fontId="5" fillId="6" borderId="4" xfId="2" applyFont="1" applyFill="1" applyBorder="1"/>
    <xf numFmtId="0" fontId="5" fillId="6" borderId="3" xfId="2" applyFont="1" applyFill="1" applyBorder="1"/>
    <xf numFmtId="0" fontId="5" fillId="6" borderId="1" xfId="2" applyFont="1" applyFill="1" applyBorder="1" applyAlignment="1">
      <alignment horizontal="center" wrapText="1"/>
    </xf>
    <xf numFmtId="0" fontId="5" fillId="6" borderId="20" xfId="2" applyFont="1" applyFill="1" applyBorder="1"/>
    <xf numFmtId="0" fontId="5" fillId="6" borderId="9" xfId="2" applyFont="1" applyFill="1" applyBorder="1" applyAlignment="1">
      <alignment wrapText="1"/>
    </xf>
    <xf numFmtId="0" fontId="5" fillId="6" borderId="7" xfId="2" applyFont="1" applyFill="1" applyBorder="1"/>
    <xf numFmtId="0" fontId="5" fillId="6" borderId="10" xfId="2" applyFont="1" applyFill="1" applyBorder="1"/>
    <xf numFmtId="166" fontId="8" fillId="4" borderId="28" xfId="2" applyNumberFormat="1" applyFont="1" applyFill="1" applyBorder="1" applyAlignment="1">
      <alignment horizontal="center"/>
    </xf>
    <xf numFmtId="166" fontId="3" fillId="4" borderId="24" xfId="2" applyNumberFormat="1" applyFont="1" applyFill="1" applyBorder="1" applyAlignment="1">
      <alignment horizontal="center"/>
    </xf>
    <xf numFmtId="166" fontId="4" fillId="4" borderId="2" xfId="2" applyNumberFormat="1" applyFont="1" applyFill="1" applyBorder="1" applyAlignment="1">
      <alignment horizontal="center"/>
    </xf>
    <xf numFmtId="166" fontId="4" fillId="4" borderId="4" xfId="2" applyNumberFormat="1" applyFont="1" applyFill="1" applyBorder="1" applyAlignment="1">
      <alignment horizontal="center"/>
    </xf>
    <xf numFmtId="166" fontId="4" fillId="4" borderId="3" xfId="2" applyNumberFormat="1" applyFont="1" applyFill="1" applyBorder="1" applyAlignment="1">
      <alignment horizontal="center"/>
    </xf>
    <xf numFmtId="167" fontId="11" fillId="2" borderId="9" xfId="2" applyNumberFormat="1" applyFont="1" applyFill="1" applyBorder="1" applyAlignment="1">
      <alignment horizontal="center"/>
    </xf>
    <xf numFmtId="167" fontId="11" fillId="2" borderId="0" xfId="2" applyNumberFormat="1" applyFont="1" applyFill="1" applyBorder="1" applyAlignment="1">
      <alignment horizontal="center"/>
    </xf>
    <xf numFmtId="167" fontId="8" fillId="4" borderId="0" xfId="0" applyNumberFormat="1" applyFont="1" applyFill="1" applyAlignment="1">
      <alignment horizontal="center" vertical="center"/>
    </xf>
    <xf numFmtId="0" fontId="15" fillId="2" borderId="0" xfId="0" applyFont="1" applyFill="1"/>
    <xf numFmtId="9" fontId="3" fillId="0" borderId="0" xfId="1" applyFont="1"/>
    <xf numFmtId="9" fontId="15" fillId="0" borderId="0" xfId="1" applyFont="1"/>
    <xf numFmtId="166" fontId="3" fillId="0" borderId="0" xfId="0" applyNumberFormat="1" applyFont="1"/>
    <xf numFmtId="0" fontId="14" fillId="0" borderId="0" xfId="0" applyFont="1" applyFill="1" applyBorder="1" applyAlignment="1">
      <alignment horizontal="center"/>
    </xf>
    <xf numFmtId="0" fontId="4" fillId="2" borderId="29" xfId="2" applyFont="1" applyFill="1" applyBorder="1" applyAlignment="1">
      <alignment horizontal="center" wrapText="1"/>
    </xf>
    <xf numFmtId="0" fontId="4" fillId="2" borderId="30" xfId="2" applyFont="1" applyFill="1" applyBorder="1" applyAlignment="1">
      <alignment horizontal="center" wrapText="1"/>
    </xf>
    <xf numFmtId="0" fontId="5" fillId="3" borderId="17" xfId="2" applyFont="1" applyFill="1" applyBorder="1" applyAlignment="1">
      <alignment horizontal="center"/>
    </xf>
    <xf numFmtId="0" fontId="5" fillId="3" borderId="25" xfId="2" applyFont="1" applyFill="1" applyBorder="1" applyAlignment="1">
      <alignment horizontal="center"/>
    </xf>
    <xf numFmtId="0" fontId="10" fillId="0" borderId="29" xfId="0" applyFont="1" applyBorder="1" applyAlignment="1">
      <alignment horizontal="center" wrapText="1"/>
    </xf>
    <xf numFmtId="0" fontId="10" fillId="0" borderId="31" xfId="0" applyFont="1" applyBorder="1" applyAlignment="1">
      <alignment horizontal="center" wrapText="1"/>
    </xf>
    <xf numFmtId="0" fontId="10" fillId="0" borderId="30" xfId="0" applyFont="1" applyBorder="1" applyAlignment="1">
      <alignment horizontal="center" wrapText="1"/>
    </xf>
    <xf numFmtId="0" fontId="5" fillId="3" borderId="20" xfId="0" applyFont="1" applyFill="1" applyBorder="1" applyAlignment="1">
      <alignment horizontal="center" vertical="center" textRotation="90"/>
    </xf>
    <xf numFmtId="0" fontId="5" fillId="3" borderId="22" xfId="0" applyFont="1" applyFill="1" applyBorder="1" applyAlignment="1">
      <alignment horizontal="center" vertical="center" textRotation="90"/>
    </xf>
    <xf numFmtId="0" fontId="5" fillId="3" borderId="21" xfId="0" applyFont="1" applyFill="1" applyBorder="1" applyAlignment="1">
      <alignment horizontal="center" vertical="center" textRotation="90"/>
    </xf>
    <xf numFmtId="0" fontId="4" fillId="2" borderId="29" xfId="2" applyFont="1" applyFill="1" applyBorder="1" applyAlignment="1">
      <alignment horizontal="center"/>
    </xf>
    <xf numFmtId="0" fontId="4" fillId="2" borderId="31" xfId="2" applyFont="1" applyFill="1" applyBorder="1" applyAlignment="1">
      <alignment horizontal="center"/>
    </xf>
    <xf numFmtId="0" fontId="4" fillId="2" borderId="30" xfId="2" applyFont="1" applyFill="1" applyBorder="1" applyAlignment="1">
      <alignment horizontal="center"/>
    </xf>
    <xf numFmtId="0" fontId="5" fillId="3" borderId="19" xfId="2" applyFont="1" applyFill="1" applyBorder="1" applyAlignment="1">
      <alignment horizontal="center"/>
    </xf>
    <xf numFmtId="0" fontId="5" fillId="3" borderId="18" xfId="2" applyFont="1" applyFill="1" applyBorder="1" applyAlignment="1">
      <alignment horizontal="center"/>
    </xf>
    <xf numFmtId="0" fontId="5" fillId="3" borderId="5" xfId="2" applyFont="1" applyFill="1" applyBorder="1" applyAlignment="1">
      <alignment horizontal="center"/>
    </xf>
    <xf numFmtId="0" fontId="5" fillId="3" borderId="6" xfId="2" applyFont="1" applyFill="1" applyBorder="1" applyAlignment="1">
      <alignment horizontal="center"/>
    </xf>
    <xf numFmtId="0" fontId="5" fillId="3" borderId="7" xfId="2" applyFont="1" applyFill="1" applyBorder="1" applyAlignment="1">
      <alignment horizontal="center"/>
    </xf>
    <xf numFmtId="0" fontId="5" fillId="3" borderId="11" xfId="2" applyFont="1" applyFill="1" applyBorder="1" applyAlignment="1">
      <alignment horizontal="center"/>
    </xf>
    <xf numFmtId="0" fontId="5" fillId="3" borderId="12" xfId="2" applyFont="1" applyFill="1" applyBorder="1" applyAlignment="1">
      <alignment horizontal="center"/>
    </xf>
    <xf numFmtId="0" fontId="5" fillId="3" borderId="13" xfId="2" applyFont="1" applyFill="1" applyBorder="1" applyAlignment="1">
      <alignment horizontal="center"/>
    </xf>
    <xf numFmtId="0" fontId="4" fillId="2" borderId="17" xfId="2" applyFont="1" applyFill="1" applyBorder="1" applyAlignment="1">
      <alignment horizontal="center"/>
    </xf>
    <xf numFmtId="0" fontId="4" fillId="2" borderId="25" xfId="2" applyFont="1" applyFill="1" applyBorder="1" applyAlignment="1">
      <alignment horizontal="center"/>
    </xf>
    <xf numFmtId="0" fontId="5" fillId="6" borderId="11" xfId="2" applyFont="1" applyFill="1" applyBorder="1" applyAlignment="1">
      <alignment horizontal="center"/>
    </xf>
    <xf numFmtId="0" fontId="5" fillId="6" borderId="12" xfId="2" applyFont="1" applyFill="1" applyBorder="1" applyAlignment="1">
      <alignment horizontal="center"/>
    </xf>
    <xf numFmtId="0" fontId="5" fillId="6" borderId="13" xfId="2" applyFont="1" applyFill="1" applyBorder="1" applyAlignment="1">
      <alignment horizontal="center"/>
    </xf>
    <xf numFmtId="0" fontId="5" fillId="6" borderId="17" xfId="2" applyFont="1" applyFill="1" applyBorder="1" applyAlignment="1">
      <alignment horizontal="center"/>
    </xf>
    <xf numFmtId="0" fontId="5" fillId="6" borderId="19" xfId="2" applyFont="1" applyFill="1" applyBorder="1" applyAlignment="1">
      <alignment horizontal="center"/>
    </xf>
    <xf numFmtId="0" fontId="5" fillId="6" borderId="18" xfId="2" applyFont="1" applyFill="1" applyBorder="1" applyAlignment="1">
      <alignment horizontal="center"/>
    </xf>
    <xf numFmtId="0" fontId="5" fillId="6" borderId="20" xfId="0" applyFont="1" applyFill="1" applyBorder="1" applyAlignment="1">
      <alignment horizontal="center" vertical="center" textRotation="90"/>
    </xf>
    <xf numFmtId="0" fontId="5" fillId="6" borderId="22" xfId="0" applyFont="1" applyFill="1" applyBorder="1" applyAlignment="1">
      <alignment horizontal="center" vertical="center" textRotation="90"/>
    </xf>
    <xf numFmtId="0" fontId="5" fillId="6" borderId="21" xfId="0" applyFont="1" applyFill="1" applyBorder="1" applyAlignment="1">
      <alignment horizontal="center" vertical="center" textRotation="90"/>
    </xf>
    <xf numFmtId="0" fontId="5" fillId="6" borderId="5" xfId="2" applyFont="1" applyFill="1" applyBorder="1" applyAlignment="1">
      <alignment horizontal="center"/>
    </xf>
    <xf numFmtId="0" fontId="5" fillId="6" borderId="6" xfId="2" applyFont="1" applyFill="1" applyBorder="1" applyAlignment="1">
      <alignment horizontal="center"/>
    </xf>
    <xf numFmtId="0" fontId="5" fillId="6" borderId="7" xfId="2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5" fillId="6" borderId="25" xfId="2" applyFont="1" applyFill="1" applyBorder="1" applyAlignment="1">
      <alignment horizontal="center"/>
    </xf>
    <xf numFmtId="0" fontId="4" fillId="5" borderId="34" xfId="2" applyFont="1" applyFill="1" applyBorder="1" applyAlignment="1">
      <alignment horizontal="center"/>
    </xf>
    <xf numFmtId="0" fontId="4" fillId="5" borderId="35" xfId="2" applyFont="1" applyFill="1" applyBorder="1" applyAlignment="1">
      <alignment horizontal="center"/>
    </xf>
  </cellXfs>
  <cellStyles count="5">
    <cellStyle name="Normal 2" xfId="2" xr:uid="{00000000-0005-0000-0000-000001000000}"/>
    <cellStyle name="Normal 3 2" xfId="3" xr:uid="{00000000-0005-0000-0000-000002000000}"/>
    <cellStyle name="Normal 4 2 2 2" xfId="4" xr:uid="{00000000-0005-0000-0000-000003000000}"/>
    <cellStyle name="Prozent" xfId="1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10583</xdr:colOff>
      <xdr:row>39</xdr:row>
      <xdr:rowOff>130498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A5F17F7-4084-454B-BC00-092B4A9E2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44583" cy="7559998"/>
        </a:xfrm>
        <a:prstGeom prst="rect">
          <a:avLst/>
        </a:prstGeom>
        <a:effectLst>
          <a:outerShdw blurRad="50800" dist="38100" dir="2700000" algn="tl" rotWithShape="0">
            <a:prstClr val="black">
              <a:alpha val="5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EE865-BDDE-4737-B39E-5D9B1DD2FD87}">
  <dimension ref="A1"/>
  <sheetViews>
    <sheetView showGridLines="0" showRowColHeaders="0" tabSelected="1" workbookViewId="0">
      <selection activeCell="I41" sqref="I41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X50"/>
  <sheetViews>
    <sheetView zoomScaleNormal="100" workbookViewId="0"/>
  </sheetViews>
  <sheetFormatPr baseColWidth="10" defaultColWidth="11.42578125" defaultRowHeight="11.25" x14ac:dyDescent="0.2"/>
  <cols>
    <col min="1" max="1" width="2" style="1" customWidth="1"/>
    <col min="2" max="2" width="3" style="1" bestFit="1" customWidth="1"/>
    <col min="3" max="3" width="17.140625" style="1" customWidth="1"/>
    <col min="4" max="4" width="7.28515625" style="1" customWidth="1"/>
    <col min="5" max="5" width="8" style="1" customWidth="1"/>
    <col min="6" max="6" width="7.7109375" style="1" customWidth="1"/>
    <col min="7" max="7" width="6.85546875" style="1" bestFit="1" customWidth="1"/>
    <col min="8" max="8" width="10.28515625" style="1" customWidth="1"/>
    <col min="9" max="9" width="7.140625" style="1" customWidth="1"/>
    <col min="10" max="10" width="4.5703125" style="1" customWidth="1"/>
    <col min="11" max="11" width="9.85546875" style="1" customWidth="1"/>
    <col min="12" max="12" width="9.140625" style="1" customWidth="1"/>
    <col min="13" max="13" width="8.28515625" style="1" customWidth="1"/>
    <col min="14" max="14" width="8.42578125" style="1" customWidth="1"/>
    <col min="15" max="15" width="10.85546875" style="1" customWidth="1"/>
    <col min="16" max="16" width="9.140625" style="1" customWidth="1"/>
    <col min="17" max="17" width="8.140625" style="1" customWidth="1"/>
    <col min="18" max="22" width="10.28515625" style="1" customWidth="1"/>
    <col min="23" max="16384" width="11.42578125" style="1"/>
  </cols>
  <sheetData>
    <row r="1" spans="2:24" ht="12" thickBot="1" x14ac:dyDescent="0.25"/>
    <row r="2" spans="2:24" ht="12" thickBot="1" x14ac:dyDescent="0.25">
      <c r="B2" s="2"/>
      <c r="C2" s="3"/>
      <c r="D2" s="132" t="s">
        <v>3</v>
      </c>
      <c r="E2" s="143"/>
      <c r="F2" s="143"/>
      <c r="G2" s="143"/>
      <c r="H2" s="144"/>
      <c r="K2" s="34" t="s">
        <v>20</v>
      </c>
      <c r="L2" s="35"/>
      <c r="M2" s="35"/>
      <c r="N2" s="35"/>
      <c r="O2" s="36"/>
    </row>
    <row r="3" spans="2:24" ht="12" thickBot="1" x14ac:dyDescent="0.25">
      <c r="B3" s="2"/>
      <c r="C3" s="3"/>
      <c r="D3" s="132" t="s">
        <v>2</v>
      </c>
      <c r="E3" s="143"/>
      <c r="F3" s="143"/>
      <c r="G3" s="143"/>
      <c r="H3" s="144"/>
      <c r="K3" s="4" t="s">
        <v>40</v>
      </c>
      <c r="L3" s="5" t="s">
        <v>41</v>
      </c>
      <c r="M3" s="5" t="s">
        <v>43</v>
      </c>
      <c r="N3" s="5" t="s">
        <v>42</v>
      </c>
      <c r="O3" s="6" t="s">
        <v>1</v>
      </c>
    </row>
    <row r="4" spans="2:24" ht="12" thickBot="1" x14ac:dyDescent="0.25">
      <c r="B4" s="2"/>
      <c r="C4" s="7"/>
      <c r="D4" s="4" t="s">
        <v>40</v>
      </c>
      <c r="E4" s="5" t="s">
        <v>41</v>
      </c>
      <c r="F4" s="5" t="s">
        <v>43</v>
      </c>
      <c r="G4" s="5" t="s">
        <v>42</v>
      </c>
      <c r="H4" s="6" t="s">
        <v>1</v>
      </c>
      <c r="K4" s="33">
        <f>(SUMPRODUCT(D5:D9,$I17:$I21))/(SUM($I17:$I21)-580)</f>
        <v>344.86486486486484</v>
      </c>
      <c r="L4" s="33">
        <f>(SUMPRODUCT(E5:E9,$I17:$I21))/(SUM($I17:$I21)-500)</f>
        <v>508.84615384615387</v>
      </c>
      <c r="M4" s="33">
        <f>(SUMPRODUCT(F5:F9,$I17:$I21))/SUM($I17:$I21)</f>
        <v>543.39805825242718</v>
      </c>
      <c r="N4" s="33">
        <f>(SUMPRODUCT(G5:G9,$I17:$I21))/(SUM($I17:$I21)-40)</f>
        <v>408.11881188118809</v>
      </c>
      <c r="O4" s="33">
        <f>(SUMPRODUCT(H5:H9,$I17:$I21))/SUM($I17:$I21)</f>
        <v>281.55339805825241</v>
      </c>
    </row>
    <row r="5" spans="2:24" ht="11.25" customHeight="1" x14ac:dyDescent="0.2">
      <c r="B5" s="137" t="s">
        <v>5</v>
      </c>
      <c r="C5" s="8" t="s">
        <v>39</v>
      </c>
      <c r="D5" s="9">
        <v>650</v>
      </c>
      <c r="E5" s="10">
        <v>820</v>
      </c>
      <c r="F5" s="10">
        <v>840</v>
      </c>
      <c r="G5" s="10">
        <v>420</v>
      </c>
      <c r="H5" s="11">
        <v>460</v>
      </c>
      <c r="K5" s="2"/>
      <c r="L5" s="2"/>
      <c r="M5" s="2"/>
      <c r="N5" s="2"/>
      <c r="O5" s="2"/>
    </row>
    <row r="6" spans="2:24" ht="12" customHeight="1" x14ac:dyDescent="0.2">
      <c r="B6" s="138"/>
      <c r="C6" s="12" t="s">
        <v>40</v>
      </c>
      <c r="D6" s="13">
        <v>0</v>
      </c>
      <c r="E6" s="14">
        <v>350</v>
      </c>
      <c r="F6" s="14">
        <v>520</v>
      </c>
      <c r="G6" s="14">
        <v>360</v>
      </c>
      <c r="H6" s="15">
        <v>200</v>
      </c>
      <c r="K6" s="134" t="s">
        <v>28</v>
      </c>
      <c r="L6" s="135"/>
      <c r="M6" s="136"/>
      <c r="N6" s="96"/>
      <c r="O6" s="2"/>
    </row>
    <row r="7" spans="2:24" ht="11.25" customHeight="1" thickBot="1" x14ac:dyDescent="0.25">
      <c r="B7" s="138"/>
      <c r="C7" s="12" t="s">
        <v>44</v>
      </c>
      <c r="D7" s="13">
        <v>150</v>
      </c>
      <c r="E7" s="14">
        <v>480</v>
      </c>
      <c r="F7" s="14">
        <v>660</v>
      </c>
      <c r="G7" s="14">
        <v>430</v>
      </c>
      <c r="H7" s="15">
        <v>270</v>
      </c>
      <c r="K7" s="48"/>
      <c r="L7" s="93" t="s">
        <v>29</v>
      </c>
      <c r="M7" s="93" t="s">
        <v>30</v>
      </c>
      <c r="N7" s="61"/>
      <c r="O7" s="2"/>
    </row>
    <row r="8" spans="2:24" ht="11.25" customHeight="1" x14ac:dyDescent="0.2">
      <c r="B8" s="138"/>
      <c r="C8" s="12" t="s">
        <v>41</v>
      </c>
      <c r="D8" s="13">
        <v>350</v>
      </c>
      <c r="E8" s="14">
        <v>0</v>
      </c>
      <c r="F8" s="14">
        <v>230</v>
      </c>
      <c r="G8" s="14">
        <v>430</v>
      </c>
      <c r="H8" s="15">
        <v>270</v>
      </c>
      <c r="K8" s="94" t="s">
        <v>39</v>
      </c>
      <c r="L8" s="43">
        <f>H5</f>
        <v>460</v>
      </c>
      <c r="M8" s="43">
        <f>(SUMPRODUCT(D5:G5,D$22:G$22))/SUM(D$22:G$22)</f>
        <v>663.04347826086962</v>
      </c>
      <c r="N8" s="91"/>
      <c r="O8" s="91"/>
      <c r="P8" s="47"/>
      <c r="Q8" s="32"/>
      <c r="R8" s="32"/>
      <c r="S8" s="32"/>
    </row>
    <row r="9" spans="2:24" ht="12" thickBot="1" x14ac:dyDescent="0.25">
      <c r="B9" s="139"/>
      <c r="C9" s="16" t="s">
        <v>42</v>
      </c>
      <c r="D9" s="17">
        <v>360</v>
      </c>
      <c r="E9" s="18">
        <v>430</v>
      </c>
      <c r="F9" s="18">
        <v>440</v>
      </c>
      <c r="G9" s="18">
        <v>0</v>
      </c>
      <c r="H9" s="19">
        <v>170</v>
      </c>
      <c r="K9" s="95" t="s">
        <v>40</v>
      </c>
      <c r="L9" s="43">
        <f>H6</f>
        <v>200</v>
      </c>
      <c r="M9" s="43">
        <f>(SUMPRODUCT(D6:G6,D$22:G$22))/(SUM(D$22:G$22)-150)</f>
        <v>435.92592592592592</v>
      </c>
      <c r="N9" s="91"/>
      <c r="O9" s="91"/>
      <c r="P9" s="47"/>
      <c r="Q9" s="32"/>
      <c r="R9" s="32"/>
      <c r="S9" s="32"/>
    </row>
    <row r="10" spans="2:24" x14ac:dyDescent="0.2">
      <c r="K10" s="95" t="s">
        <v>44</v>
      </c>
      <c r="L10" s="43">
        <f>H7</f>
        <v>270</v>
      </c>
      <c r="M10" s="43">
        <f>(SUMPRODUCT(D7:G7,D$22:G$22))/SUM(D$22:G$22)</f>
        <v>460.14492753623188</v>
      </c>
      <c r="N10" s="91"/>
      <c r="O10" s="91"/>
      <c r="P10" s="47"/>
      <c r="Q10" s="32"/>
      <c r="R10" s="32"/>
      <c r="S10" s="32"/>
    </row>
    <row r="11" spans="2:24" x14ac:dyDescent="0.2">
      <c r="K11" s="95" t="s">
        <v>41</v>
      </c>
      <c r="L11" s="43">
        <f>H8</f>
        <v>270</v>
      </c>
      <c r="M11" s="43">
        <f>(SUMPRODUCT(D8:G8,D$22:G$22))/(SUM(D$22:G$22)-60)</f>
        <v>328.41269841269843</v>
      </c>
      <c r="N11" s="91"/>
      <c r="O11" s="91"/>
      <c r="P11" s="47"/>
      <c r="Q11" s="32"/>
      <c r="R11" s="32"/>
      <c r="S11" s="32"/>
    </row>
    <row r="12" spans="2:24" x14ac:dyDescent="0.2">
      <c r="K12" s="95" t="s">
        <v>42</v>
      </c>
      <c r="L12" s="43">
        <f>H9</f>
        <v>170</v>
      </c>
      <c r="M12" s="43">
        <f>(SUMPRODUCT(D9:G9,D$22:G$22))/(SUM(D$22:G$22)-220)</f>
        <v>413.19148936170211</v>
      </c>
      <c r="N12" s="91"/>
      <c r="O12" s="91"/>
      <c r="P12" s="47"/>
      <c r="Q12" s="32"/>
      <c r="R12" s="32"/>
      <c r="S12" s="32"/>
    </row>
    <row r="13" spans="2:24" ht="12" thickBot="1" x14ac:dyDescent="0.25">
      <c r="K13" s="52"/>
      <c r="L13" s="53"/>
      <c r="M13" s="54"/>
      <c r="N13" s="54"/>
      <c r="O13" s="91"/>
      <c r="P13" s="47"/>
      <c r="Q13" s="47"/>
      <c r="R13" s="32"/>
      <c r="S13" s="32"/>
      <c r="T13" s="32"/>
    </row>
    <row r="14" spans="2:24" x14ac:dyDescent="0.2">
      <c r="B14" s="2"/>
      <c r="C14" s="3"/>
      <c r="D14" s="145" t="s">
        <v>4</v>
      </c>
      <c r="E14" s="146"/>
      <c r="F14" s="146"/>
      <c r="G14" s="146"/>
      <c r="H14" s="146"/>
      <c r="I14" s="147"/>
      <c r="J14" s="50"/>
      <c r="K14" s="2"/>
      <c r="L14" s="2"/>
      <c r="M14" s="2"/>
      <c r="N14" s="2"/>
      <c r="O14" s="2"/>
    </row>
    <row r="15" spans="2:24" ht="12" thickBot="1" x14ac:dyDescent="0.25">
      <c r="B15" s="2"/>
      <c r="C15" s="3"/>
      <c r="D15" s="148" t="s">
        <v>2</v>
      </c>
      <c r="E15" s="149"/>
      <c r="F15" s="149"/>
      <c r="G15" s="149"/>
      <c r="H15" s="149"/>
      <c r="I15" s="150"/>
      <c r="J15" s="50"/>
      <c r="K15" s="50"/>
      <c r="L15" s="2"/>
      <c r="M15" s="2"/>
      <c r="N15" s="2"/>
      <c r="O15" s="2"/>
    </row>
    <row r="16" spans="2:24" s="40" customFormat="1" ht="37.5" customHeight="1" thickBot="1" x14ac:dyDescent="0.25">
      <c r="B16" s="37"/>
      <c r="C16" s="38"/>
      <c r="D16" s="4" t="s">
        <v>40</v>
      </c>
      <c r="E16" s="5" t="s">
        <v>41</v>
      </c>
      <c r="F16" s="5" t="s">
        <v>43</v>
      </c>
      <c r="G16" s="5" t="s">
        <v>42</v>
      </c>
      <c r="H16" s="6" t="s">
        <v>1</v>
      </c>
      <c r="I16" s="39" t="s">
        <v>0</v>
      </c>
      <c r="J16" s="85"/>
      <c r="K16" s="51" t="s">
        <v>18</v>
      </c>
      <c r="L16" s="51" t="s">
        <v>19</v>
      </c>
      <c r="M16" s="56" t="s">
        <v>17</v>
      </c>
      <c r="N16" s="56" t="s">
        <v>22</v>
      </c>
      <c r="O16" s="37"/>
      <c r="R16" s="98"/>
      <c r="S16" s="98"/>
      <c r="T16" s="98"/>
      <c r="U16" s="98"/>
      <c r="V16" s="98"/>
      <c r="W16" s="98"/>
      <c r="X16" s="98"/>
    </row>
    <row r="17" spans="2:24" ht="12.75" customHeight="1" x14ac:dyDescent="0.2">
      <c r="B17" s="137" t="s">
        <v>5</v>
      </c>
      <c r="C17" s="8" t="s">
        <v>39</v>
      </c>
      <c r="D17" s="20"/>
      <c r="E17" s="21"/>
      <c r="F17" s="21"/>
      <c r="G17" s="21"/>
      <c r="H17" s="22"/>
      <c r="I17" s="86">
        <v>360</v>
      </c>
      <c r="J17" s="78"/>
      <c r="K17" s="44">
        <f t="shared" ref="K17:K21" si="0">M17*L8</f>
        <v>110132.03883495147</v>
      </c>
      <c r="L17" s="44">
        <f>N17*M8</f>
        <v>79951.456310679612</v>
      </c>
      <c r="M17" s="57">
        <f>I17-N17</f>
        <v>239.41747572815535</v>
      </c>
      <c r="N17" s="57">
        <f>I17/SUM($I$17:$I$21)*SUM($D$22:$G$22)</f>
        <v>120.58252427184466</v>
      </c>
      <c r="O17" s="2"/>
      <c r="R17" s="99"/>
      <c r="S17" s="100"/>
      <c r="T17" s="100"/>
      <c r="U17" s="101"/>
      <c r="V17" s="99"/>
      <c r="W17" s="99"/>
      <c r="X17" s="99"/>
    </row>
    <row r="18" spans="2:24" x14ac:dyDescent="0.2">
      <c r="B18" s="138"/>
      <c r="C18" s="12" t="s">
        <v>40</v>
      </c>
      <c r="D18" s="24"/>
      <c r="E18" s="23"/>
      <c r="F18" s="23"/>
      <c r="G18" s="23"/>
      <c r="H18" s="25"/>
      <c r="I18" s="87">
        <v>580</v>
      </c>
      <c r="J18" s="78"/>
      <c r="K18" s="44">
        <f t="shared" si="0"/>
        <v>77145.631067961163</v>
      </c>
      <c r="L18" s="44">
        <f>N18*M9</f>
        <v>84688.13376483279</v>
      </c>
      <c r="M18" s="57">
        <f>I18-N18</f>
        <v>385.72815533980582</v>
      </c>
      <c r="N18" s="57">
        <f>I18/SUM($I$17:$I$21)*SUM($D$22:$G$22)</f>
        <v>194.27184466019418</v>
      </c>
      <c r="O18" s="2"/>
      <c r="R18" s="99"/>
      <c r="S18" s="100"/>
      <c r="T18" s="100"/>
      <c r="U18" s="101"/>
      <c r="V18" s="99"/>
      <c r="W18" s="99"/>
      <c r="X18" s="99"/>
    </row>
    <row r="19" spans="2:24" x14ac:dyDescent="0.2">
      <c r="B19" s="138"/>
      <c r="C19" s="12" t="s">
        <v>44</v>
      </c>
      <c r="D19" s="24"/>
      <c r="E19" s="23"/>
      <c r="F19" s="23"/>
      <c r="G19" s="23"/>
      <c r="H19" s="25"/>
      <c r="I19" s="87">
        <v>580</v>
      </c>
      <c r="J19" s="78"/>
      <c r="K19" s="44">
        <f t="shared" si="0"/>
        <v>104146.60194174758</v>
      </c>
      <c r="L19" s="44">
        <f>N19*M10</f>
        <v>89393.203883495138</v>
      </c>
      <c r="M19" s="57">
        <f>I19-N19</f>
        <v>385.72815533980582</v>
      </c>
      <c r="N19" s="57">
        <f>I19/SUM($I$17:$I$21)*SUM($D$22:$G$22)</f>
        <v>194.27184466019418</v>
      </c>
      <c r="O19" s="2"/>
      <c r="R19" s="99"/>
      <c r="S19" s="100"/>
      <c r="T19" s="100"/>
      <c r="U19" s="101"/>
      <c r="V19" s="99"/>
      <c r="W19" s="99"/>
      <c r="X19" s="99"/>
    </row>
    <row r="20" spans="2:24" x14ac:dyDescent="0.2">
      <c r="B20" s="138"/>
      <c r="C20" s="12" t="s">
        <v>41</v>
      </c>
      <c r="D20" s="24"/>
      <c r="E20" s="23"/>
      <c r="F20" s="23"/>
      <c r="G20" s="23"/>
      <c r="H20" s="25"/>
      <c r="I20" s="87">
        <v>500</v>
      </c>
      <c r="J20" s="78"/>
      <c r="K20" s="44">
        <f t="shared" si="0"/>
        <v>89781.55339805827</v>
      </c>
      <c r="L20" s="44">
        <f>N20*M11</f>
        <v>55001.155802126676</v>
      </c>
      <c r="M20" s="57">
        <f>I20-N20</f>
        <v>332.52427184466023</v>
      </c>
      <c r="N20" s="57">
        <f>I20/SUM($I$17:$I$21)*SUM($D$22:$G$22)</f>
        <v>167.47572815533979</v>
      </c>
      <c r="O20" s="2"/>
      <c r="R20" s="99"/>
      <c r="S20" s="100"/>
      <c r="T20" s="100"/>
      <c r="U20" s="101"/>
      <c r="V20" s="99"/>
      <c r="W20" s="99"/>
      <c r="X20" s="99"/>
    </row>
    <row r="21" spans="2:24" ht="12" thickBot="1" x14ac:dyDescent="0.25">
      <c r="B21" s="139"/>
      <c r="C21" s="16" t="s">
        <v>42</v>
      </c>
      <c r="D21" s="26"/>
      <c r="E21" s="27"/>
      <c r="F21" s="27"/>
      <c r="G21" s="27"/>
      <c r="H21" s="28"/>
      <c r="I21" s="88">
        <v>40</v>
      </c>
      <c r="J21" s="78"/>
      <c r="K21" s="44">
        <f t="shared" si="0"/>
        <v>4522.3300970873788</v>
      </c>
      <c r="L21" s="44">
        <f>N21*M12</f>
        <v>5535.9636438752323</v>
      </c>
      <c r="M21" s="57">
        <f>I21-N21</f>
        <v>26.601941747572816</v>
      </c>
      <c r="N21" s="57">
        <f>I21/SUM($I$17:$I$21)*SUM($D$22:$G$22)</f>
        <v>13.398058252427184</v>
      </c>
      <c r="O21" s="2"/>
      <c r="R21" s="99"/>
      <c r="S21" s="100"/>
      <c r="T21" s="100"/>
      <c r="U21" s="101"/>
      <c r="V21" s="99"/>
      <c r="W21" s="99"/>
      <c r="X21" s="99"/>
    </row>
    <row r="22" spans="2:24" x14ac:dyDescent="0.2">
      <c r="B22" s="2"/>
      <c r="C22" s="29" t="s">
        <v>0</v>
      </c>
      <c r="D22" s="79">
        <v>150</v>
      </c>
      <c r="E22" s="79">
        <v>60</v>
      </c>
      <c r="F22" s="79">
        <v>260</v>
      </c>
      <c r="G22" s="79">
        <v>220</v>
      </c>
      <c r="H22" s="30">
        <v>3000</v>
      </c>
      <c r="I22" s="31"/>
      <c r="J22" s="78"/>
      <c r="K22" s="2"/>
      <c r="L22" s="89" t="s">
        <v>31</v>
      </c>
      <c r="M22" s="58">
        <f>SUM(M17:M21)</f>
        <v>1370</v>
      </c>
      <c r="N22" s="74">
        <f>SUM(N17:N21)</f>
        <v>690</v>
      </c>
      <c r="O22" s="2"/>
      <c r="R22" s="99"/>
      <c r="S22" s="99"/>
      <c r="T22" s="99"/>
      <c r="U22" s="99"/>
      <c r="V22" s="99"/>
      <c r="W22" s="99"/>
      <c r="X22" s="99"/>
    </row>
    <row r="23" spans="2:24" ht="25.5" customHeight="1" x14ac:dyDescent="0.2">
      <c r="B23" s="2"/>
      <c r="C23" s="41" t="s">
        <v>21</v>
      </c>
      <c r="D23" s="23">
        <f>D22*K4</f>
        <v>51729.729729729726</v>
      </c>
      <c r="E23" s="23">
        <f>E22*L4</f>
        <v>30530.76923076923</v>
      </c>
      <c r="F23" s="23">
        <f>F22*M4</f>
        <v>141283.49514563105</v>
      </c>
      <c r="G23" s="23">
        <f>G22*N4</f>
        <v>89786.138613861374</v>
      </c>
      <c r="H23" s="23">
        <f>H22*O4</f>
        <v>844660.19417475723</v>
      </c>
      <c r="I23" s="49"/>
      <c r="J23" s="2"/>
      <c r="K23" s="2"/>
      <c r="L23" s="2"/>
      <c r="N23" s="82" t="s">
        <v>45</v>
      </c>
      <c r="O23" s="2"/>
      <c r="R23" s="129"/>
      <c r="S23" s="129"/>
      <c r="T23" s="129"/>
      <c r="U23" s="129"/>
      <c r="V23" s="99"/>
      <c r="W23" s="99"/>
      <c r="X23" s="99"/>
    </row>
    <row r="24" spans="2:24" x14ac:dyDescent="0.2">
      <c r="C24" s="2"/>
      <c r="D24" s="2"/>
      <c r="E24" s="2"/>
      <c r="F24" s="2"/>
      <c r="G24" s="2"/>
      <c r="H24" s="2"/>
      <c r="I24" s="90"/>
      <c r="J24" s="2"/>
      <c r="K24" s="2"/>
      <c r="L24" s="2"/>
      <c r="M24" s="2"/>
      <c r="N24" s="92"/>
      <c r="O24" s="2"/>
      <c r="R24" s="99"/>
      <c r="S24" s="99"/>
      <c r="T24" s="99"/>
      <c r="U24" s="99"/>
      <c r="V24" s="99"/>
      <c r="W24" s="99"/>
      <c r="X24" s="99"/>
    </row>
    <row r="25" spans="2:24" x14ac:dyDescent="0.2">
      <c r="O25" s="2"/>
      <c r="R25" s="99"/>
      <c r="S25" s="99"/>
      <c r="T25" s="99"/>
      <c r="U25" s="99"/>
      <c r="V25" s="99"/>
      <c r="W25" s="99"/>
      <c r="X25" s="99"/>
    </row>
    <row r="26" spans="2:24" ht="12" thickBot="1" x14ac:dyDescent="0.25">
      <c r="R26" s="99"/>
      <c r="S26" s="99"/>
      <c r="T26" s="102"/>
      <c r="U26" s="99"/>
      <c r="V26" s="99"/>
      <c r="W26" s="99"/>
      <c r="X26" s="99"/>
    </row>
    <row r="27" spans="2:24" ht="12" thickBot="1" x14ac:dyDescent="0.25">
      <c r="C27" s="132" t="s">
        <v>50</v>
      </c>
      <c r="D27" s="133"/>
      <c r="E27" s="83">
        <v>800000</v>
      </c>
      <c r="F27" s="2"/>
      <c r="G27" s="140" t="s">
        <v>9</v>
      </c>
      <c r="H27" s="141"/>
      <c r="I27" s="141"/>
      <c r="J27" s="141"/>
      <c r="K27" s="142"/>
      <c r="R27" s="99"/>
      <c r="S27" s="99"/>
      <c r="T27" s="99"/>
      <c r="U27" s="99"/>
      <c r="V27" s="99"/>
      <c r="W27" s="99"/>
      <c r="X27" s="99"/>
    </row>
    <row r="28" spans="2:24" ht="12" thickBot="1" x14ac:dyDescent="0.25">
      <c r="C28" s="132" t="s">
        <v>15</v>
      </c>
      <c r="D28" s="133"/>
      <c r="E28" s="84">
        <v>0.4</v>
      </c>
      <c r="F28" s="2"/>
      <c r="G28" s="4" t="s">
        <v>40</v>
      </c>
      <c r="H28" s="5" t="s">
        <v>41</v>
      </c>
      <c r="I28" s="5" t="s">
        <v>43</v>
      </c>
      <c r="J28" s="5" t="s">
        <v>42</v>
      </c>
      <c r="K28" s="6" t="s">
        <v>1</v>
      </c>
      <c r="R28" s="99"/>
      <c r="S28" s="99"/>
      <c r="T28" s="99"/>
      <c r="U28" s="99"/>
      <c r="V28" s="99"/>
      <c r="W28" s="99"/>
      <c r="X28" s="99"/>
    </row>
    <row r="29" spans="2:24" ht="12" thickBot="1" x14ac:dyDescent="0.25">
      <c r="C29" s="132" t="s">
        <v>16</v>
      </c>
      <c r="D29" s="133"/>
      <c r="E29" s="84">
        <f>1-E28</f>
        <v>0.6</v>
      </c>
      <c r="F29" s="2"/>
      <c r="G29" s="55">
        <v>98</v>
      </c>
      <c r="H29" s="55">
        <v>147</v>
      </c>
      <c r="I29" s="55">
        <v>220</v>
      </c>
      <c r="J29" s="55">
        <v>147</v>
      </c>
      <c r="K29" s="55">
        <v>122</v>
      </c>
      <c r="R29" s="99"/>
      <c r="S29" s="99"/>
      <c r="T29" s="102"/>
      <c r="U29" s="99"/>
      <c r="V29" s="99"/>
      <c r="W29" s="99"/>
      <c r="X29" s="99"/>
    </row>
    <row r="30" spans="2:24" ht="12" thickBot="1" x14ac:dyDescent="0.25">
      <c r="C30" s="2"/>
      <c r="D30" s="2"/>
      <c r="E30" s="2"/>
      <c r="F30" s="2"/>
      <c r="G30" s="2"/>
      <c r="H30" s="2"/>
      <c r="I30" s="2"/>
      <c r="J30" s="2"/>
      <c r="K30" s="2"/>
      <c r="R30" s="99"/>
      <c r="S30" s="99"/>
      <c r="T30" s="99"/>
      <c r="U30" s="99"/>
      <c r="V30" s="99"/>
      <c r="W30" s="99"/>
      <c r="X30" s="99"/>
    </row>
    <row r="31" spans="2:24" ht="12" thickBot="1" x14ac:dyDescent="0.25">
      <c r="B31" s="75"/>
      <c r="C31" s="151" t="s">
        <v>6</v>
      </c>
      <c r="D31" s="152"/>
      <c r="E31" s="81">
        <f>E27*E28</f>
        <v>320000</v>
      </c>
      <c r="F31" s="76"/>
      <c r="G31" s="2"/>
      <c r="H31" s="130" t="s">
        <v>8</v>
      </c>
      <c r="I31" s="131"/>
      <c r="J31" s="2"/>
      <c r="K31" s="2"/>
      <c r="R31" s="99"/>
      <c r="S31" s="99"/>
      <c r="T31" s="99"/>
      <c r="U31" s="99"/>
      <c r="V31" s="99"/>
      <c r="W31" s="99"/>
      <c r="X31" s="99"/>
    </row>
    <row r="32" spans="2:24" ht="12" thickBot="1" x14ac:dyDescent="0.25">
      <c r="B32" s="77"/>
      <c r="C32" s="151" t="s">
        <v>7</v>
      </c>
      <c r="D32" s="152"/>
      <c r="E32" s="81">
        <f>E29*E27</f>
        <v>480000</v>
      </c>
      <c r="F32" s="76"/>
      <c r="G32" s="60"/>
      <c r="H32" s="8" t="s">
        <v>39</v>
      </c>
      <c r="I32" s="55">
        <v>265</v>
      </c>
      <c r="J32" s="2"/>
      <c r="K32" s="2"/>
      <c r="R32" s="103"/>
      <c r="S32" s="99"/>
      <c r="T32" s="102"/>
      <c r="U32" s="99"/>
      <c r="V32" s="99"/>
      <c r="W32" s="99"/>
      <c r="X32" s="99"/>
    </row>
    <row r="33" spans="2:24" ht="11.25" customHeight="1" thickBot="1" x14ac:dyDescent="0.25">
      <c r="B33" s="77"/>
      <c r="C33" s="59"/>
      <c r="D33" s="59"/>
      <c r="E33" s="2"/>
      <c r="F33" s="2"/>
      <c r="G33" s="60"/>
      <c r="H33" s="12" t="s">
        <v>40</v>
      </c>
      <c r="I33" s="55">
        <v>106</v>
      </c>
      <c r="J33" s="2"/>
      <c r="K33" s="2"/>
      <c r="R33" s="103"/>
      <c r="S33" s="99"/>
      <c r="T33" s="99"/>
      <c r="U33" s="99"/>
      <c r="V33" s="99"/>
      <c r="W33" s="99"/>
      <c r="X33" s="99"/>
    </row>
    <row r="34" spans="2:24" ht="12" thickBot="1" x14ac:dyDescent="0.25">
      <c r="B34" s="77"/>
      <c r="C34" s="151" t="s">
        <v>32</v>
      </c>
      <c r="D34" s="152"/>
      <c r="E34" s="64">
        <f>E31-E35</f>
        <v>212869.12621359224</v>
      </c>
      <c r="F34" s="2" t="s">
        <v>56</v>
      </c>
      <c r="G34" s="60"/>
      <c r="H34" s="12" t="s">
        <v>44</v>
      </c>
      <c r="I34" s="55">
        <v>159</v>
      </c>
      <c r="J34" s="2"/>
      <c r="K34" s="2"/>
      <c r="R34" s="103"/>
      <c r="S34" s="99"/>
      <c r="T34" s="99"/>
      <c r="U34" s="99"/>
      <c r="V34" s="99"/>
      <c r="W34" s="99"/>
      <c r="X34" s="99"/>
    </row>
    <row r="35" spans="2:24" ht="12" thickBot="1" x14ac:dyDescent="0.25">
      <c r="B35" s="77"/>
      <c r="C35" s="151" t="s">
        <v>33</v>
      </c>
      <c r="D35" s="152"/>
      <c r="E35" s="72">
        <f>SUMPRODUCT(I32:I36,N17:N21)</f>
        <v>107130.87378640777</v>
      </c>
      <c r="F35" s="2" t="s">
        <v>38</v>
      </c>
      <c r="G35" s="2"/>
      <c r="H35" s="12" t="s">
        <v>41</v>
      </c>
      <c r="I35" s="55">
        <v>133</v>
      </c>
      <c r="J35" s="2"/>
      <c r="R35" s="99"/>
      <c r="S35" s="99"/>
      <c r="T35" s="102"/>
      <c r="U35" s="99"/>
      <c r="V35" s="99"/>
      <c r="W35" s="99"/>
      <c r="X35" s="99"/>
    </row>
    <row r="36" spans="2:24" ht="12" thickBot="1" x14ac:dyDescent="0.25">
      <c r="B36" s="77"/>
      <c r="C36" s="151" t="s">
        <v>34</v>
      </c>
      <c r="D36" s="152"/>
      <c r="E36" s="64">
        <f>SUMPRODUCT(H22,K29)</f>
        <v>366000</v>
      </c>
      <c r="F36" s="2"/>
      <c r="G36" s="61"/>
      <c r="H36" s="16" t="s">
        <v>42</v>
      </c>
      <c r="I36" s="55">
        <v>106</v>
      </c>
      <c r="J36" s="2"/>
      <c r="K36" s="2"/>
      <c r="R36" s="99"/>
      <c r="S36" s="99"/>
      <c r="T36" s="99"/>
      <c r="U36" s="99"/>
      <c r="V36" s="99"/>
      <c r="W36" s="99"/>
      <c r="X36" s="99"/>
    </row>
    <row r="37" spans="2:24" ht="12" thickBot="1" x14ac:dyDescent="0.25">
      <c r="B37" s="42"/>
      <c r="C37" s="151" t="s">
        <v>36</v>
      </c>
      <c r="D37" s="152"/>
      <c r="E37" s="64">
        <f>SUMPRODUCT(D22:G22,G29:J29)</f>
        <v>113060</v>
      </c>
      <c r="F37" s="2"/>
      <c r="G37" s="62"/>
      <c r="H37" s="2"/>
      <c r="I37" s="2"/>
      <c r="J37" s="2"/>
      <c r="K37" s="2"/>
      <c r="R37" s="103"/>
      <c r="S37" s="99"/>
      <c r="T37" s="99"/>
      <c r="U37" s="102"/>
      <c r="V37" s="99"/>
      <c r="W37" s="99"/>
      <c r="X37" s="99"/>
    </row>
    <row r="38" spans="2:24" ht="12" thickBot="1" x14ac:dyDescent="0.25">
      <c r="B38" s="42"/>
      <c r="C38" s="132" t="s">
        <v>35</v>
      </c>
      <c r="D38" s="133"/>
      <c r="E38" s="66">
        <f>E34+E36</f>
        <v>578869.12621359224</v>
      </c>
      <c r="F38" s="2"/>
      <c r="G38" s="61"/>
      <c r="H38" s="61"/>
      <c r="I38" s="80"/>
      <c r="J38" s="61"/>
      <c r="K38" s="61"/>
      <c r="R38" s="103"/>
      <c r="S38" s="99"/>
      <c r="T38" s="99"/>
      <c r="U38" s="99"/>
      <c r="V38" s="99"/>
      <c r="W38" s="99"/>
      <c r="X38" s="99"/>
    </row>
    <row r="39" spans="2:24" ht="12" thickBot="1" x14ac:dyDescent="0.25">
      <c r="C39" s="132" t="s">
        <v>37</v>
      </c>
      <c r="D39" s="133"/>
      <c r="E39" s="66">
        <f>E35+E37</f>
        <v>220190.87378640776</v>
      </c>
      <c r="F39" s="64"/>
      <c r="G39" s="61"/>
      <c r="H39" s="63"/>
      <c r="I39" s="61"/>
      <c r="J39" s="61"/>
      <c r="K39" s="61"/>
      <c r="R39" s="104"/>
      <c r="S39" s="99"/>
      <c r="T39" s="99"/>
      <c r="U39" s="105"/>
      <c r="V39" s="99"/>
      <c r="W39" s="99"/>
      <c r="X39" s="99"/>
    </row>
    <row r="40" spans="2:24" ht="12" thickBot="1" x14ac:dyDescent="0.25">
      <c r="C40" s="59"/>
      <c r="D40" s="59"/>
      <c r="E40" s="66"/>
      <c r="F40" s="2"/>
      <c r="G40" s="53"/>
      <c r="H40" s="65"/>
      <c r="I40" s="61"/>
      <c r="J40" s="61"/>
      <c r="K40" s="61"/>
      <c r="R40" s="104"/>
      <c r="S40" s="99"/>
      <c r="T40" s="99"/>
      <c r="U40" s="99"/>
      <c r="V40" s="99"/>
      <c r="W40" s="99"/>
      <c r="X40" s="99"/>
    </row>
    <row r="41" spans="2:24" ht="12" thickBot="1" x14ac:dyDescent="0.25">
      <c r="C41" s="151" t="s">
        <v>23</v>
      </c>
      <c r="D41" s="152"/>
      <c r="E41" s="73">
        <f>SUM(K17:K21)</f>
        <v>385728.15533980587</v>
      </c>
      <c r="F41" s="2"/>
      <c r="G41" s="61"/>
      <c r="H41" s="2"/>
      <c r="I41" s="2"/>
      <c r="J41" s="61"/>
      <c r="K41" s="61"/>
      <c r="R41" s="99"/>
      <c r="S41" s="99"/>
      <c r="T41" s="99"/>
      <c r="U41" s="99"/>
      <c r="V41" s="99"/>
      <c r="W41" s="99"/>
      <c r="X41" s="99"/>
    </row>
    <row r="42" spans="2:24" ht="12" thickBot="1" x14ac:dyDescent="0.25">
      <c r="C42" s="151" t="s">
        <v>24</v>
      </c>
      <c r="D42" s="152"/>
      <c r="E42" s="66">
        <f>H23</f>
        <v>844660.19417475723</v>
      </c>
      <c r="F42" s="2"/>
      <c r="G42" s="61"/>
      <c r="H42" s="68"/>
      <c r="I42" s="69" t="s">
        <v>14</v>
      </c>
      <c r="J42" s="61"/>
      <c r="K42" s="61"/>
      <c r="R42" s="99"/>
      <c r="S42" s="99"/>
      <c r="T42" s="99"/>
      <c r="U42" s="99"/>
      <c r="V42" s="99"/>
      <c r="W42" s="99"/>
      <c r="X42" s="99"/>
    </row>
    <row r="43" spans="2:24" ht="12" thickBot="1" x14ac:dyDescent="0.25">
      <c r="C43" s="132" t="s">
        <v>12</v>
      </c>
      <c r="D43" s="133"/>
      <c r="E43" s="66">
        <f>SUM(E41:E42)</f>
        <v>1230388.3495145631</v>
      </c>
      <c r="F43" s="2"/>
      <c r="G43" s="2"/>
      <c r="H43" s="68" t="s">
        <v>10</v>
      </c>
      <c r="I43" s="70">
        <f>E38/E43</f>
        <v>0.47047676161919044</v>
      </c>
      <c r="J43" s="61"/>
      <c r="K43" s="61"/>
      <c r="R43" s="99"/>
      <c r="S43" s="99"/>
      <c r="T43" s="99"/>
      <c r="U43" s="99"/>
      <c r="V43" s="99"/>
      <c r="W43" s="99"/>
      <c r="X43" s="99"/>
    </row>
    <row r="44" spans="2:24" ht="12" thickBot="1" x14ac:dyDescent="0.25">
      <c r="C44" s="151" t="s">
        <v>25</v>
      </c>
      <c r="D44" s="152"/>
      <c r="E44" s="67">
        <f>SUM(L17:L21)</f>
        <v>314569.91340500943</v>
      </c>
      <c r="F44" s="2"/>
      <c r="G44" s="2"/>
      <c r="H44" s="68" t="s">
        <v>11</v>
      </c>
      <c r="I44" s="70">
        <f>E39/E46</f>
        <v>0.35067822521320963</v>
      </c>
      <c r="J44" s="61"/>
      <c r="K44" s="61"/>
      <c r="R44" s="99"/>
      <c r="S44" s="99"/>
      <c r="T44" s="99"/>
      <c r="U44" s="99"/>
      <c r="V44" s="99"/>
      <c r="W44" s="99"/>
      <c r="X44" s="99"/>
    </row>
    <row r="45" spans="2:24" ht="12" thickBot="1" x14ac:dyDescent="0.25">
      <c r="C45" s="151" t="s">
        <v>26</v>
      </c>
      <c r="D45" s="152"/>
      <c r="E45" s="66">
        <f>SUM(D23:G23)</f>
        <v>313330.13271999138</v>
      </c>
      <c r="F45" s="2"/>
      <c r="G45" s="2"/>
      <c r="H45" s="68" t="s">
        <v>57</v>
      </c>
      <c r="I45" s="71">
        <f>2*(ABS(I43-I44))/(I43+I44)</f>
        <v>0.29178057328276819</v>
      </c>
      <c r="J45" s="2"/>
      <c r="K45" s="2"/>
    </row>
    <row r="46" spans="2:24" ht="12" thickBot="1" x14ac:dyDescent="0.25">
      <c r="C46" s="132" t="s">
        <v>13</v>
      </c>
      <c r="D46" s="133"/>
      <c r="E46" s="66">
        <f>SUM(E44:E45)</f>
        <v>627900.04612500081</v>
      </c>
      <c r="F46" s="2"/>
      <c r="G46" s="2"/>
      <c r="H46" s="46" t="s">
        <v>27</v>
      </c>
      <c r="I46" s="45"/>
      <c r="J46" s="2"/>
      <c r="K46" s="2"/>
    </row>
    <row r="47" spans="2:24" x14ac:dyDescent="0.2">
      <c r="F47" s="2"/>
      <c r="G47" s="2"/>
      <c r="H47" s="2"/>
      <c r="I47" s="97"/>
      <c r="J47" s="2"/>
      <c r="K47" s="2"/>
    </row>
    <row r="48" spans="2:24" x14ac:dyDescent="0.2">
      <c r="F48" s="2"/>
      <c r="G48" s="2"/>
      <c r="H48" s="2"/>
      <c r="I48" s="2"/>
      <c r="J48" s="2"/>
      <c r="K48" s="2"/>
    </row>
    <row r="49" spans="7:11" x14ac:dyDescent="0.2">
      <c r="G49" s="2"/>
      <c r="J49" s="2"/>
      <c r="K49" s="2"/>
    </row>
    <row r="50" spans="7:11" x14ac:dyDescent="0.2">
      <c r="J50" s="2"/>
      <c r="K50" s="2"/>
    </row>
  </sheetData>
  <mergeCells count="27">
    <mergeCell ref="C45:D45"/>
    <mergeCell ref="C46:D46"/>
    <mergeCell ref="C31:D31"/>
    <mergeCell ref="C32:D32"/>
    <mergeCell ref="C39:D39"/>
    <mergeCell ref="C41:D41"/>
    <mergeCell ref="C42:D42"/>
    <mergeCell ref="C43:D43"/>
    <mergeCell ref="C44:D44"/>
    <mergeCell ref="C34:D34"/>
    <mergeCell ref="C35:D35"/>
    <mergeCell ref="C36:D36"/>
    <mergeCell ref="C37:D37"/>
    <mergeCell ref="C38:D38"/>
    <mergeCell ref="B17:B21"/>
    <mergeCell ref="C27:D27"/>
    <mergeCell ref="G27:K27"/>
    <mergeCell ref="D2:H2"/>
    <mergeCell ref="D3:H3"/>
    <mergeCell ref="B5:B9"/>
    <mergeCell ref="D14:I14"/>
    <mergeCell ref="D15:I15"/>
    <mergeCell ref="R23:U23"/>
    <mergeCell ref="H31:I31"/>
    <mergeCell ref="C28:D28"/>
    <mergeCell ref="C29:D29"/>
    <mergeCell ref="K6:M6"/>
  </mergeCells>
  <pageMargins left="0.23622047244094491" right="0.23622047244094491" top="0.74803149606299213" bottom="0.74803149606299213" header="0.31496062992125984" footer="0.31496062992125984"/>
  <pageSetup paperSize="9" scale="95" orientation="landscape" r:id="rId1"/>
  <ignoredErrors>
    <ignoredError sqref="E37 M10" formulaRange="1"/>
    <ignoredError sqref="M11:M12 M8:M9" formula="1" formulaRange="1"/>
    <ignoredError sqref="K4:N7 K11:L12 K10:L10 N10 K8:L9 N8:N9 N11:N1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X52"/>
  <sheetViews>
    <sheetView workbookViewId="0"/>
  </sheetViews>
  <sheetFormatPr baseColWidth="10" defaultColWidth="11.42578125" defaultRowHeight="11.25" x14ac:dyDescent="0.2"/>
  <cols>
    <col min="1" max="1" width="2" style="1" customWidth="1"/>
    <col min="2" max="2" width="3" style="1" bestFit="1" customWidth="1"/>
    <col min="3" max="3" width="8" style="1" bestFit="1" customWidth="1"/>
    <col min="4" max="4" width="15.85546875" style="1" customWidth="1"/>
    <col min="5" max="5" width="9.42578125" style="1" customWidth="1"/>
    <col min="6" max="6" width="6.5703125" style="1" customWidth="1"/>
    <col min="7" max="7" width="7" style="1" customWidth="1"/>
    <col min="8" max="8" width="9.7109375" style="1" customWidth="1"/>
    <col min="9" max="9" width="8.42578125" style="1" customWidth="1"/>
    <col min="10" max="10" width="4.28515625" style="1" customWidth="1"/>
    <col min="11" max="11" width="10.7109375" style="1" customWidth="1"/>
    <col min="12" max="12" width="8.140625" style="1" customWidth="1"/>
    <col min="13" max="13" width="7.85546875" style="1" customWidth="1"/>
    <col min="14" max="14" width="8.140625" style="1" bestFit="1" customWidth="1"/>
    <col min="15" max="15" width="10" style="1" bestFit="1" customWidth="1"/>
    <col min="16" max="16" width="9.140625" style="1" customWidth="1"/>
    <col min="17" max="17" width="8.140625" style="1" customWidth="1"/>
    <col min="18" max="22" width="10.28515625" style="1" customWidth="1"/>
    <col min="23" max="16384" width="11.42578125" style="1"/>
  </cols>
  <sheetData>
    <row r="1" spans="2:24" ht="12" thickBot="1" x14ac:dyDescent="0.25"/>
    <row r="2" spans="2:24" ht="12" thickBot="1" x14ac:dyDescent="0.25">
      <c r="B2" s="2"/>
      <c r="C2" s="3"/>
      <c r="D2" s="156" t="s">
        <v>3</v>
      </c>
      <c r="E2" s="157"/>
      <c r="F2" s="157"/>
      <c r="G2" s="157"/>
      <c r="H2" s="158"/>
      <c r="K2" s="165" t="s">
        <v>20</v>
      </c>
      <c r="L2" s="166"/>
      <c r="M2" s="166"/>
      <c r="N2" s="166"/>
      <c r="O2" s="167"/>
    </row>
    <row r="3" spans="2:24" ht="12" thickBot="1" x14ac:dyDescent="0.25">
      <c r="B3" s="2"/>
      <c r="C3" s="3"/>
      <c r="D3" s="156" t="s">
        <v>2</v>
      </c>
      <c r="E3" s="157"/>
      <c r="F3" s="157"/>
      <c r="G3" s="157"/>
      <c r="H3" s="158"/>
      <c r="K3" s="106" t="s">
        <v>40</v>
      </c>
      <c r="L3" s="107" t="s">
        <v>41</v>
      </c>
      <c r="M3" s="107" t="s">
        <v>43</v>
      </c>
      <c r="N3" s="107" t="s">
        <v>42</v>
      </c>
      <c r="O3" s="108" t="s">
        <v>1</v>
      </c>
    </row>
    <row r="4" spans="2:24" ht="12" thickBot="1" x14ac:dyDescent="0.25">
      <c r="B4" s="2"/>
      <c r="C4" s="7"/>
      <c r="D4" s="106" t="s">
        <v>40</v>
      </c>
      <c r="E4" s="107" t="s">
        <v>41</v>
      </c>
      <c r="F4" s="107" t="s">
        <v>43</v>
      </c>
      <c r="G4" s="107" t="s">
        <v>42</v>
      </c>
      <c r="H4" s="108" t="s">
        <v>1</v>
      </c>
      <c r="K4" s="33">
        <f>(SUMPRODUCT(D5:D9,$I17:$I21))/(SUM($I17:$I21)-I18)</f>
        <v>344.86486486486496</v>
      </c>
      <c r="L4" s="33">
        <f>(SUMPRODUCT(E5:E9,$I17:$I21))/(SUM($I17:$I21)-I20)</f>
        <v>508.84615384615398</v>
      </c>
      <c r="M4" s="33">
        <f>(SUMPRODUCT(F5:F9,$I17:$I21))/SUM($I17:$I21)</f>
        <v>543.39805825242729</v>
      </c>
      <c r="N4" s="33">
        <f>(SUMPRODUCT(G5:G9,$I17:$I21))/(SUM($I17:$I21)-I21)</f>
        <v>408.11881188118815</v>
      </c>
      <c r="O4" s="33">
        <f>(SUMPRODUCT(H5:H9,$I17:$I21))/SUM($I17:$I21)</f>
        <v>281.55339805825253</v>
      </c>
    </row>
    <row r="5" spans="2:24" ht="11.25" customHeight="1" x14ac:dyDescent="0.2">
      <c r="B5" s="159" t="s">
        <v>5</v>
      </c>
      <c r="C5" s="109" t="s">
        <v>39</v>
      </c>
      <c r="D5" s="9">
        <v>650</v>
      </c>
      <c r="E5" s="10">
        <v>820</v>
      </c>
      <c r="F5" s="10">
        <v>840</v>
      </c>
      <c r="G5" s="10">
        <v>420</v>
      </c>
      <c r="H5" s="11">
        <v>460</v>
      </c>
      <c r="K5" s="2"/>
      <c r="L5" s="2"/>
      <c r="M5" s="2"/>
      <c r="N5" s="2"/>
      <c r="O5" s="2"/>
    </row>
    <row r="6" spans="2:24" ht="12" customHeight="1" x14ac:dyDescent="0.2">
      <c r="B6" s="160"/>
      <c r="C6" s="110" t="s">
        <v>40</v>
      </c>
      <c r="D6" s="13">
        <v>0</v>
      </c>
      <c r="E6" s="14">
        <v>350</v>
      </c>
      <c r="F6" s="14">
        <v>520</v>
      </c>
      <c r="G6" s="14">
        <v>360</v>
      </c>
      <c r="H6" s="15">
        <v>200</v>
      </c>
      <c r="K6" s="134" t="s">
        <v>28</v>
      </c>
      <c r="L6" s="135"/>
      <c r="M6" s="136"/>
      <c r="N6" s="96"/>
      <c r="O6" s="2"/>
    </row>
    <row r="7" spans="2:24" ht="11.25" customHeight="1" thickBot="1" x14ac:dyDescent="0.25">
      <c r="B7" s="160"/>
      <c r="C7" s="110" t="s">
        <v>44</v>
      </c>
      <c r="D7" s="13">
        <v>150</v>
      </c>
      <c r="E7" s="14">
        <v>480</v>
      </c>
      <c r="F7" s="14">
        <v>660</v>
      </c>
      <c r="G7" s="14">
        <v>430</v>
      </c>
      <c r="H7" s="15">
        <v>270</v>
      </c>
      <c r="K7" s="48"/>
      <c r="L7" s="93" t="s">
        <v>29</v>
      </c>
      <c r="M7" s="93" t="s">
        <v>30</v>
      </c>
      <c r="N7" s="61"/>
      <c r="O7" s="2"/>
    </row>
    <row r="8" spans="2:24" ht="11.25" customHeight="1" x14ac:dyDescent="0.2">
      <c r="B8" s="160"/>
      <c r="C8" s="110" t="s">
        <v>41</v>
      </c>
      <c r="D8" s="13">
        <v>350</v>
      </c>
      <c r="E8" s="14">
        <v>0</v>
      </c>
      <c r="F8" s="14">
        <v>230</v>
      </c>
      <c r="G8" s="14">
        <v>430</v>
      </c>
      <c r="H8" s="15">
        <v>270</v>
      </c>
      <c r="K8" s="115" t="s">
        <v>39</v>
      </c>
      <c r="L8" s="43">
        <f>H5</f>
        <v>460</v>
      </c>
      <c r="M8" s="43">
        <f>(SUMPRODUCT(D5:G5,D$22:G$22))/SUM(D$22:G$22)</f>
        <v>739.26186806934777</v>
      </c>
      <c r="N8" s="91"/>
      <c r="O8" s="91"/>
      <c r="P8" s="47"/>
      <c r="Q8" s="32"/>
      <c r="R8" s="32"/>
      <c r="S8" s="32"/>
    </row>
    <row r="9" spans="2:24" ht="12" thickBot="1" x14ac:dyDescent="0.25">
      <c r="B9" s="161"/>
      <c r="C9" s="111" t="s">
        <v>42</v>
      </c>
      <c r="D9" s="17">
        <v>360</v>
      </c>
      <c r="E9" s="18">
        <v>430</v>
      </c>
      <c r="F9" s="18">
        <v>440</v>
      </c>
      <c r="G9" s="18">
        <v>0</v>
      </c>
      <c r="H9" s="19">
        <v>170</v>
      </c>
      <c r="K9" s="116" t="s">
        <v>40</v>
      </c>
      <c r="L9" s="43">
        <f>H6</f>
        <v>200</v>
      </c>
      <c r="M9" s="43">
        <f>(SUMPRODUCT(D6:G6,D$22:G$22))/(SUM(D$22:G$22)-D22)</f>
        <v>457.18919547065826</v>
      </c>
      <c r="N9" s="91"/>
      <c r="O9" s="91"/>
      <c r="P9" s="47"/>
      <c r="Q9" s="32"/>
      <c r="R9" s="32"/>
      <c r="S9" s="32"/>
    </row>
    <row r="10" spans="2:24" x14ac:dyDescent="0.2">
      <c r="K10" s="116" t="s">
        <v>44</v>
      </c>
      <c r="L10" s="43">
        <f>H7</f>
        <v>270</v>
      </c>
      <c r="M10" s="43">
        <f>(SUMPRODUCT(D7:G7,D$22:G$22))/SUM(D$22:G$22)</f>
        <v>515.77380778513486</v>
      </c>
      <c r="N10" s="91"/>
      <c r="O10" s="91"/>
      <c r="P10" s="47"/>
      <c r="Q10" s="32"/>
      <c r="R10" s="32"/>
      <c r="S10" s="32"/>
    </row>
    <row r="11" spans="2:24" x14ac:dyDescent="0.2">
      <c r="K11" s="116" t="s">
        <v>41</v>
      </c>
      <c r="L11" s="43">
        <f>H8</f>
        <v>270</v>
      </c>
      <c r="M11" s="43">
        <f>(SUMPRODUCT(D8:G8,D$22:G$22))/(SUM(D$22:G$22)-E22)</f>
        <v>290.63925029757092</v>
      </c>
      <c r="N11" s="91"/>
      <c r="O11" s="91"/>
      <c r="P11" s="47"/>
      <c r="Q11" s="32"/>
      <c r="R11" s="32"/>
      <c r="S11" s="32"/>
    </row>
    <row r="12" spans="2:24" x14ac:dyDescent="0.2">
      <c r="K12" s="116" t="s">
        <v>42</v>
      </c>
      <c r="L12" s="43">
        <f>H9</f>
        <v>170</v>
      </c>
      <c r="M12" s="43">
        <f>(SUMPRODUCT(D9:G9,D$22:G$22))/(SUM(D$22:G$22)-G22)</f>
        <v>423.47258536873704</v>
      </c>
      <c r="N12" s="91"/>
      <c r="O12" s="91"/>
      <c r="P12" s="47"/>
      <c r="Q12" s="32"/>
      <c r="R12" s="32"/>
      <c r="S12" s="32"/>
    </row>
    <row r="13" spans="2:24" ht="12" thickBot="1" x14ac:dyDescent="0.25">
      <c r="K13" s="52"/>
      <c r="L13" s="53"/>
      <c r="M13" s="54"/>
      <c r="N13" s="54"/>
      <c r="O13" s="91"/>
      <c r="P13" s="47"/>
      <c r="Q13" s="47"/>
      <c r="R13" s="32"/>
      <c r="S13" s="32"/>
      <c r="T13" s="32"/>
    </row>
    <row r="14" spans="2:24" x14ac:dyDescent="0.2">
      <c r="B14" s="2"/>
      <c r="C14" s="3"/>
      <c r="D14" s="162" t="s">
        <v>55</v>
      </c>
      <c r="E14" s="163"/>
      <c r="F14" s="163"/>
      <c r="G14" s="163"/>
      <c r="H14" s="163"/>
      <c r="I14" s="164"/>
      <c r="J14" s="50"/>
      <c r="K14" s="2"/>
      <c r="L14" s="2"/>
      <c r="M14" s="2"/>
      <c r="N14" s="2"/>
      <c r="O14" s="2"/>
    </row>
    <row r="15" spans="2:24" ht="12" thickBot="1" x14ac:dyDescent="0.25">
      <c r="B15" s="2"/>
      <c r="C15" s="3"/>
      <c r="D15" s="153" t="s">
        <v>2</v>
      </c>
      <c r="E15" s="154"/>
      <c r="F15" s="154"/>
      <c r="G15" s="154"/>
      <c r="H15" s="154"/>
      <c r="I15" s="155"/>
      <c r="J15" s="50"/>
      <c r="K15" s="50"/>
      <c r="L15" s="2"/>
      <c r="M15" s="2"/>
      <c r="N15" s="2"/>
      <c r="O15" s="2"/>
    </row>
    <row r="16" spans="2:24" s="40" customFormat="1" ht="37.5" customHeight="1" thickBot="1" x14ac:dyDescent="0.25">
      <c r="B16" s="37"/>
      <c r="C16" s="38"/>
      <c r="D16" s="106" t="s">
        <v>40</v>
      </c>
      <c r="E16" s="107" t="s">
        <v>41</v>
      </c>
      <c r="F16" s="107" t="s">
        <v>43</v>
      </c>
      <c r="G16" s="107" t="s">
        <v>42</v>
      </c>
      <c r="H16" s="108" t="s">
        <v>1</v>
      </c>
      <c r="I16" s="112" t="s">
        <v>0</v>
      </c>
      <c r="J16" s="85"/>
      <c r="K16" s="51" t="s">
        <v>18</v>
      </c>
      <c r="L16" s="51" t="s">
        <v>19</v>
      </c>
      <c r="M16" s="56" t="s">
        <v>48</v>
      </c>
      <c r="N16" s="56" t="s">
        <v>49</v>
      </c>
      <c r="O16" s="37"/>
      <c r="P16" s="40" t="s">
        <v>54</v>
      </c>
      <c r="Q16" s="40" t="s">
        <v>53</v>
      </c>
      <c r="R16" s="98" t="s">
        <v>52</v>
      </c>
      <c r="S16" s="98"/>
      <c r="T16" s="98"/>
      <c r="U16" s="98"/>
      <c r="V16" s="98"/>
      <c r="W16" s="98"/>
      <c r="X16" s="98"/>
    </row>
    <row r="17" spans="2:24" ht="12.75" customHeight="1" x14ac:dyDescent="0.2">
      <c r="B17" s="159" t="s">
        <v>5</v>
      </c>
      <c r="C17" s="109" t="s">
        <v>39</v>
      </c>
      <c r="D17" s="20"/>
      <c r="E17" s="21"/>
      <c r="F17" s="21"/>
      <c r="G17" s="21"/>
      <c r="H17" s="22"/>
      <c r="I17" s="119">
        <f>R17/SUM($R$17:$R$21)*SUM($D$22:$H$22)</f>
        <v>111.4442842791056</v>
      </c>
      <c r="J17" s="78"/>
      <c r="K17" s="44">
        <f t="shared" ref="K17:K21" si="0">M17*L8</f>
        <v>44012.621359223296</v>
      </c>
      <c r="L17" s="44">
        <f>N17*M8</f>
        <v>11654.221336935461</v>
      </c>
      <c r="M17" s="122">
        <f>I17-N17</f>
        <v>95.679611650485427</v>
      </c>
      <c r="N17" s="122">
        <f>I17/SUM($I$17:$I$21)*SUM($D$22:$G$22)</f>
        <v>15.76467262862017</v>
      </c>
      <c r="O17" s="2"/>
      <c r="P17" s="126">
        <f>I17/SUM($I$17:$I$21)</f>
        <v>0.17475728155339809</v>
      </c>
      <c r="Q17" s="126">
        <f>R17/SUM($R$17:$R$21)</f>
        <v>0.17475728155339806</v>
      </c>
      <c r="R17" s="86">
        <v>360</v>
      </c>
      <c r="S17" s="100"/>
      <c r="T17" s="100"/>
      <c r="U17" s="101"/>
      <c r="V17" s="99"/>
      <c r="W17" s="99"/>
      <c r="X17" s="99"/>
    </row>
    <row r="18" spans="2:24" x14ac:dyDescent="0.2">
      <c r="B18" s="160"/>
      <c r="C18" s="110" t="s">
        <v>40</v>
      </c>
      <c r="D18" s="24"/>
      <c r="E18" s="23"/>
      <c r="F18" s="23"/>
      <c r="G18" s="23"/>
      <c r="H18" s="25"/>
      <c r="I18" s="120">
        <f t="shared" ref="I18:I21" si="1">R18/SUM($R$17:$R$21)*SUM($D$22:$H$22)</f>
        <v>179.54912467189234</v>
      </c>
      <c r="J18" s="78"/>
      <c r="K18" s="44">
        <f t="shared" si="0"/>
        <v>30830.097087378635</v>
      </c>
      <c r="L18" s="44">
        <f>N18*M9</f>
        <v>11611.983437898762</v>
      </c>
      <c r="M18" s="122">
        <f>I18-N18</f>
        <v>154.15048543689318</v>
      </c>
      <c r="N18" s="122">
        <f>I18/SUM($I$17:$I$21)*SUM($D$22:$G$22)</f>
        <v>25.398639234999163</v>
      </c>
      <c r="O18" s="2"/>
      <c r="P18" s="126">
        <f t="shared" ref="P18:P21" si="2">I18/SUM($I$17:$I$21)</f>
        <v>0.28155339805825247</v>
      </c>
      <c r="Q18" s="126">
        <f t="shared" ref="Q18:Q21" si="3">R18/SUM($R$17:$R$21)</f>
        <v>0.28155339805825241</v>
      </c>
      <c r="R18" s="87">
        <v>580</v>
      </c>
      <c r="S18" s="100"/>
      <c r="T18" s="100"/>
      <c r="U18" s="101"/>
      <c r="V18" s="99"/>
      <c r="W18" s="99"/>
      <c r="X18" s="99"/>
    </row>
    <row r="19" spans="2:24" x14ac:dyDescent="0.2">
      <c r="B19" s="160"/>
      <c r="C19" s="110" t="s">
        <v>44</v>
      </c>
      <c r="D19" s="24"/>
      <c r="E19" s="23"/>
      <c r="F19" s="23"/>
      <c r="G19" s="23"/>
      <c r="H19" s="25"/>
      <c r="I19" s="120">
        <f t="shared" si="1"/>
        <v>179.54912467189234</v>
      </c>
      <c r="J19" s="78"/>
      <c r="K19" s="44">
        <f t="shared" si="0"/>
        <v>41620.631067961156</v>
      </c>
      <c r="L19" s="44">
        <f>N19*M10</f>
        <v>13099.952870796444</v>
      </c>
      <c r="M19" s="122">
        <f>I19-N19</f>
        <v>154.15048543689318</v>
      </c>
      <c r="N19" s="122">
        <f>I19/SUM($I$17:$I$21)*SUM($D$22:$G$22)</f>
        <v>25.398639234999163</v>
      </c>
      <c r="O19" s="2"/>
      <c r="P19" s="126">
        <f t="shared" si="2"/>
        <v>0.28155339805825247</v>
      </c>
      <c r="Q19" s="126">
        <f t="shared" si="3"/>
        <v>0.28155339805825241</v>
      </c>
      <c r="R19" s="87">
        <v>580</v>
      </c>
      <c r="S19" s="100"/>
      <c r="T19" s="100"/>
      <c r="U19" s="101"/>
      <c r="V19" s="99"/>
      <c r="W19" s="99"/>
      <c r="X19" s="99"/>
    </row>
    <row r="20" spans="2:24" x14ac:dyDescent="0.2">
      <c r="B20" s="160"/>
      <c r="C20" s="110" t="s">
        <v>41</v>
      </c>
      <c r="D20" s="24"/>
      <c r="E20" s="23"/>
      <c r="F20" s="23"/>
      <c r="G20" s="23"/>
      <c r="H20" s="25"/>
      <c r="I20" s="120">
        <f t="shared" si="1"/>
        <v>154.78372816542444</v>
      </c>
      <c r="J20" s="78"/>
      <c r="K20" s="44">
        <f t="shared" si="0"/>
        <v>35879.854368932036</v>
      </c>
      <c r="L20" s="44">
        <f>N20*M11</f>
        <v>6363.6564360677812</v>
      </c>
      <c r="M20" s="122">
        <f>I20-N20</f>
        <v>132.88834951456309</v>
      </c>
      <c r="N20" s="122">
        <f>I20/SUM($I$17:$I$21)*SUM($D$22:$G$22)</f>
        <v>21.895378650861346</v>
      </c>
      <c r="O20" s="2"/>
      <c r="P20" s="126">
        <f t="shared" si="2"/>
        <v>0.24271844660194178</v>
      </c>
      <c r="Q20" s="126">
        <f t="shared" si="3"/>
        <v>0.24271844660194175</v>
      </c>
      <c r="R20" s="87">
        <v>500</v>
      </c>
      <c r="S20" s="100"/>
      <c r="T20" s="100"/>
      <c r="U20" s="101"/>
      <c r="V20" s="99"/>
      <c r="W20" s="99"/>
      <c r="X20" s="99"/>
    </row>
    <row r="21" spans="2:24" ht="12" thickBot="1" x14ac:dyDescent="0.25">
      <c r="B21" s="161"/>
      <c r="C21" s="111" t="s">
        <v>42</v>
      </c>
      <c r="D21" s="26"/>
      <c r="E21" s="27"/>
      <c r="F21" s="27"/>
      <c r="G21" s="27"/>
      <c r="H21" s="28"/>
      <c r="I21" s="121">
        <f t="shared" si="1"/>
        <v>12.382698253233954</v>
      </c>
      <c r="J21" s="78"/>
      <c r="K21" s="44">
        <f t="shared" si="0"/>
        <v>1807.2815533980579</v>
      </c>
      <c r="L21" s="44">
        <f>N21*M12</f>
        <v>741.76740839261629</v>
      </c>
      <c r="M21" s="122">
        <f>I21-N21</f>
        <v>10.631067961165046</v>
      </c>
      <c r="N21" s="122">
        <f>I21/SUM($I$17:$I$21)*SUM($D$22:$G$22)</f>
        <v>1.7516302920689077</v>
      </c>
      <c r="O21" s="2"/>
      <c r="P21" s="127">
        <f t="shared" si="2"/>
        <v>1.9417475728155342E-2</v>
      </c>
      <c r="Q21" s="127">
        <f t="shared" si="3"/>
        <v>1.9417475728155338E-2</v>
      </c>
      <c r="R21" s="88">
        <v>40</v>
      </c>
      <c r="S21" s="100"/>
      <c r="T21" s="100"/>
      <c r="U21" s="101"/>
      <c r="V21" s="99"/>
      <c r="W21" s="99"/>
      <c r="X21" s="99"/>
    </row>
    <row r="22" spans="2:24" x14ac:dyDescent="0.2">
      <c r="B22" s="2"/>
      <c r="C22" s="113" t="s">
        <v>0</v>
      </c>
      <c r="D22" s="117">
        <v>13.799252409155566</v>
      </c>
      <c r="E22" s="117">
        <v>14.387526725239629</v>
      </c>
      <c r="F22" s="117">
        <v>47.31295798870562</v>
      </c>
      <c r="G22" s="117">
        <v>14.709222918447924</v>
      </c>
      <c r="H22" s="118">
        <v>547.5</v>
      </c>
      <c r="I22" s="31"/>
      <c r="J22" s="78"/>
      <c r="K22" s="2"/>
      <c r="L22" s="89" t="s">
        <v>31</v>
      </c>
      <c r="M22" s="123">
        <f>SUM(M17:M21)</f>
        <v>547.49999999999989</v>
      </c>
      <c r="N22" s="124">
        <f>SUM(N17:N21)</f>
        <v>90.20896004154875</v>
      </c>
      <c r="O22" s="2"/>
      <c r="R22" s="99"/>
      <c r="S22" s="99"/>
      <c r="T22" s="99"/>
      <c r="U22" s="99"/>
      <c r="V22" s="99"/>
      <c r="W22" s="99"/>
      <c r="X22" s="99"/>
    </row>
    <row r="23" spans="2:24" ht="25.5" customHeight="1" x14ac:dyDescent="0.2">
      <c r="B23" s="2"/>
      <c r="C23" s="114" t="s">
        <v>21</v>
      </c>
      <c r="D23" s="23">
        <f>D22*K4</f>
        <v>4758.8773173195959</v>
      </c>
      <c r="E23" s="23">
        <f>E22*L4</f>
        <v>7321.0376374969364</v>
      </c>
      <c r="F23" s="23">
        <f>F22*M4</f>
        <v>25709.769501241302</v>
      </c>
      <c r="G23" s="23">
        <f>G22*N4</f>
        <v>6003.1105811725101</v>
      </c>
      <c r="H23" s="23">
        <f>H22*O4</f>
        <v>154150.48543689327</v>
      </c>
      <c r="I23" s="49"/>
      <c r="J23" s="2"/>
      <c r="K23" s="2"/>
      <c r="L23" s="2"/>
      <c r="N23" s="82" t="s">
        <v>45</v>
      </c>
      <c r="O23" s="2"/>
      <c r="R23" s="129"/>
      <c r="S23" s="129"/>
      <c r="T23" s="129"/>
      <c r="U23" s="129"/>
      <c r="V23" s="99"/>
      <c r="W23" s="99"/>
      <c r="X23" s="99"/>
    </row>
    <row r="24" spans="2:24" x14ac:dyDescent="0.2">
      <c r="O24" s="2"/>
      <c r="R24" s="99"/>
      <c r="S24" s="99"/>
      <c r="T24" s="99"/>
      <c r="U24" s="99"/>
      <c r="V24" s="99"/>
      <c r="W24" s="99"/>
      <c r="X24" s="99"/>
    </row>
    <row r="25" spans="2:24" x14ac:dyDescent="0.2">
      <c r="C25" s="1" t="s">
        <v>52</v>
      </c>
      <c r="D25" s="1">
        <v>150</v>
      </c>
      <c r="E25" s="1">
        <v>60</v>
      </c>
      <c r="F25" s="1">
        <v>260</v>
      </c>
      <c r="G25" s="1">
        <v>220</v>
      </c>
      <c r="H25" s="1">
        <v>3000</v>
      </c>
      <c r="K25" s="128">
        <f>SUM(D22:G22)</f>
        <v>90.208960041548735</v>
      </c>
      <c r="O25" s="2"/>
      <c r="R25" s="99"/>
      <c r="S25" s="99"/>
      <c r="T25" s="99"/>
      <c r="U25" s="99"/>
      <c r="V25" s="99"/>
      <c r="W25" s="99"/>
      <c r="X25" s="99"/>
    </row>
    <row r="26" spans="2:24" x14ac:dyDescent="0.2">
      <c r="C26" s="1" t="s">
        <v>54</v>
      </c>
      <c r="D26" s="126">
        <f>D22/SUM($D$22:$H$22)</f>
        <v>2.1638793358425609E-2</v>
      </c>
      <c r="E26" s="126">
        <f t="shared" ref="E26:H26" si="4">E22/SUM($D$22:$H$22)</f>
        <v>2.2561274228140433E-2</v>
      </c>
      <c r="F26" s="126">
        <f t="shared" si="4"/>
        <v>7.4192085972295319E-2</v>
      </c>
      <c r="G26" s="126">
        <f t="shared" si="4"/>
        <v>2.3065730356822294E-2</v>
      </c>
      <c r="H26" s="126">
        <f t="shared" si="4"/>
        <v>0.85854211608431641</v>
      </c>
      <c r="O26" s="2"/>
      <c r="R26" s="99"/>
      <c r="S26" s="99"/>
      <c r="T26" s="99"/>
      <c r="U26" s="99"/>
      <c r="V26" s="99"/>
      <c r="W26" s="99"/>
      <c r="X26" s="99"/>
    </row>
    <row r="27" spans="2:24" x14ac:dyDescent="0.2">
      <c r="C27" s="1" t="s">
        <v>53</v>
      </c>
      <c r="D27" s="126">
        <f>D25/SUM($D$25:$H$25)</f>
        <v>4.065040650406504E-2</v>
      </c>
      <c r="E27" s="126">
        <f t="shared" ref="E27:H27" si="5">E25/SUM($D$25:$H$25)</f>
        <v>1.6260162601626018E-2</v>
      </c>
      <c r="F27" s="126">
        <f t="shared" si="5"/>
        <v>7.0460704607046065E-2</v>
      </c>
      <c r="G27" s="126">
        <f t="shared" si="5"/>
        <v>5.9620596205962058E-2</v>
      </c>
      <c r="H27" s="126">
        <f t="shared" si="5"/>
        <v>0.81300813008130079</v>
      </c>
      <c r="O27" s="2"/>
      <c r="R27" s="99"/>
      <c r="S27" s="99"/>
      <c r="T27" s="99"/>
      <c r="U27" s="99"/>
      <c r="V27" s="99"/>
      <c r="W27" s="99"/>
      <c r="X27" s="99"/>
    </row>
    <row r="28" spans="2:24" ht="12" thickBot="1" x14ac:dyDescent="0.25">
      <c r="R28" s="99"/>
      <c r="S28" s="99"/>
      <c r="T28" s="102"/>
      <c r="U28" s="99"/>
      <c r="V28" s="99"/>
      <c r="W28" s="99"/>
      <c r="X28" s="99"/>
    </row>
    <row r="29" spans="2:24" ht="12" thickBot="1" x14ac:dyDescent="0.25">
      <c r="C29" s="156" t="s">
        <v>51</v>
      </c>
      <c r="D29" s="168"/>
      <c r="E29" s="83">
        <f>SUM(E30:E31)</f>
        <v>5101671.6803323897</v>
      </c>
      <c r="F29" s="2"/>
      <c r="G29" s="140" t="s">
        <v>46</v>
      </c>
      <c r="H29" s="141"/>
      <c r="I29" s="141"/>
      <c r="J29" s="141"/>
      <c r="K29" s="142"/>
      <c r="R29" s="99"/>
      <c r="S29" s="99"/>
      <c r="T29" s="99"/>
      <c r="U29" s="99"/>
      <c r="V29" s="99"/>
      <c r="W29" s="99"/>
      <c r="X29" s="99"/>
    </row>
    <row r="30" spans="2:24" ht="12" thickBot="1" x14ac:dyDescent="0.25">
      <c r="C30" s="156" t="s">
        <v>15</v>
      </c>
      <c r="D30" s="168"/>
      <c r="E30" s="83">
        <f>SUMPRODUCT(I17:I21,I34:I38)*1000</f>
        <v>1913126.880124646</v>
      </c>
      <c r="F30" s="2"/>
      <c r="G30" s="106" t="s">
        <v>40</v>
      </c>
      <c r="H30" s="107" t="s">
        <v>41</v>
      </c>
      <c r="I30" s="107" t="s">
        <v>43</v>
      </c>
      <c r="J30" s="107" t="s">
        <v>42</v>
      </c>
      <c r="K30" s="108" t="s">
        <v>1</v>
      </c>
      <c r="R30" s="99"/>
      <c r="S30" s="99"/>
      <c r="T30" s="99"/>
      <c r="U30" s="99"/>
      <c r="V30" s="99"/>
      <c r="W30" s="99"/>
      <c r="X30" s="99"/>
    </row>
    <row r="31" spans="2:24" ht="15.75" customHeight="1" thickBot="1" x14ac:dyDescent="0.25">
      <c r="C31" s="156" t="s">
        <v>16</v>
      </c>
      <c r="D31" s="168"/>
      <c r="E31" s="83">
        <f>SUMPRODUCT(D22:H22,G31:K31)*1000</f>
        <v>3188544.8002077439</v>
      </c>
      <c r="F31" s="2"/>
      <c r="G31" s="55">
        <f>$M31</f>
        <v>5</v>
      </c>
      <c r="H31" s="55">
        <f t="shared" ref="H31:K31" si="6">$M31</f>
        <v>5</v>
      </c>
      <c r="I31" s="55">
        <f t="shared" si="6"/>
        <v>5</v>
      </c>
      <c r="J31" s="55">
        <f t="shared" si="6"/>
        <v>5</v>
      </c>
      <c r="K31" s="55">
        <f t="shared" si="6"/>
        <v>5</v>
      </c>
      <c r="M31" s="1">
        <v>5</v>
      </c>
      <c r="R31" s="99"/>
      <c r="S31" s="99"/>
      <c r="T31" s="102"/>
      <c r="U31" s="99"/>
      <c r="V31" s="99"/>
      <c r="W31" s="99"/>
      <c r="X31" s="99"/>
    </row>
    <row r="32" spans="2:24" x14ac:dyDescent="0.2">
      <c r="C32" s="2"/>
      <c r="D32" s="2"/>
      <c r="E32" s="2"/>
      <c r="F32" s="2"/>
      <c r="G32" s="2"/>
      <c r="H32" s="2"/>
      <c r="I32" s="2"/>
      <c r="J32" s="2"/>
      <c r="K32" s="2"/>
      <c r="R32" s="99"/>
      <c r="S32" s="99"/>
      <c r="T32" s="99"/>
      <c r="U32" s="99"/>
      <c r="V32" s="99"/>
      <c r="W32" s="99"/>
      <c r="X32" s="99"/>
    </row>
    <row r="33" spans="2:24" ht="12" thickBot="1" x14ac:dyDescent="0.25">
      <c r="B33" s="75"/>
      <c r="C33" s="59"/>
      <c r="D33" s="59"/>
      <c r="E33" s="2"/>
      <c r="F33" s="76"/>
      <c r="G33" s="2"/>
      <c r="H33" s="130" t="s">
        <v>47</v>
      </c>
      <c r="I33" s="131"/>
      <c r="J33" s="2"/>
      <c r="K33" s="2"/>
      <c r="R33" s="99"/>
      <c r="S33" s="99"/>
      <c r="T33" s="99"/>
      <c r="U33" s="99"/>
      <c r="V33" s="99"/>
      <c r="W33" s="99"/>
      <c r="X33" s="99"/>
    </row>
    <row r="34" spans="2:24" ht="12" thickBot="1" x14ac:dyDescent="0.25">
      <c r="B34" s="77"/>
      <c r="C34" s="151" t="s">
        <v>32</v>
      </c>
      <c r="D34" s="152"/>
      <c r="E34" s="64">
        <f>SUMPRODUCT(I34:I38,M17:M21)*1000</f>
        <v>1642499.9999999995</v>
      </c>
      <c r="F34" s="125" t="s">
        <v>56</v>
      </c>
      <c r="G34" s="60"/>
      <c r="H34" s="109" t="s">
        <v>39</v>
      </c>
      <c r="I34" s="55">
        <v>3</v>
      </c>
      <c r="J34" s="2"/>
      <c r="K34" s="2"/>
      <c r="R34" s="103"/>
      <c r="S34" s="99"/>
      <c r="T34" s="102"/>
      <c r="U34" s="99"/>
      <c r="V34" s="99"/>
      <c r="W34" s="99"/>
      <c r="X34" s="99"/>
    </row>
    <row r="35" spans="2:24" ht="11.25" customHeight="1" thickBot="1" x14ac:dyDescent="0.25">
      <c r="B35" s="77"/>
      <c r="C35" s="151" t="s">
        <v>33</v>
      </c>
      <c r="D35" s="152"/>
      <c r="E35" s="72">
        <f>SUMPRODUCT(I34:I38,N17:N21)*1000</f>
        <v>270626.88012464624</v>
      </c>
      <c r="F35" s="125" t="s">
        <v>38</v>
      </c>
      <c r="G35" s="60"/>
      <c r="H35" s="110" t="s">
        <v>40</v>
      </c>
      <c r="I35" s="55">
        <f>I34</f>
        <v>3</v>
      </c>
      <c r="J35" s="2"/>
      <c r="K35" s="2"/>
      <c r="R35" s="103"/>
      <c r="S35" s="99"/>
      <c r="T35" s="99"/>
      <c r="U35" s="99"/>
      <c r="V35" s="99"/>
      <c r="W35" s="99"/>
      <c r="X35" s="99"/>
    </row>
    <row r="36" spans="2:24" ht="12" thickBot="1" x14ac:dyDescent="0.25">
      <c r="B36" s="77"/>
      <c r="C36" s="151" t="s">
        <v>34</v>
      </c>
      <c r="D36" s="152"/>
      <c r="E36" s="64">
        <f>SUMPRODUCT(H22,K31)*1000</f>
        <v>2737500</v>
      </c>
      <c r="G36" s="60"/>
      <c r="H36" s="110" t="s">
        <v>44</v>
      </c>
      <c r="I36" s="55">
        <f t="shared" ref="I36:I38" si="7">I35</f>
        <v>3</v>
      </c>
      <c r="J36" s="2"/>
      <c r="K36" s="2"/>
      <c r="R36" s="103"/>
      <c r="S36" s="99"/>
      <c r="T36" s="99"/>
      <c r="U36" s="99"/>
      <c r="V36" s="99"/>
      <c r="W36" s="99"/>
      <c r="X36" s="99"/>
    </row>
    <row r="37" spans="2:24" ht="12" thickBot="1" x14ac:dyDescent="0.25">
      <c r="B37" s="77"/>
      <c r="C37" s="151" t="s">
        <v>36</v>
      </c>
      <c r="D37" s="152"/>
      <c r="E37" s="64">
        <f>SUMPRODUCT(D22:G22,G31:J31)*1000</f>
        <v>451044.80020774371</v>
      </c>
      <c r="G37" s="2"/>
      <c r="H37" s="110" t="s">
        <v>41</v>
      </c>
      <c r="I37" s="55">
        <f t="shared" si="7"/>
        <v>3</v>
      </c>
      <c r="J37" s="2"/>
      <c r="R37" s="99"/>
      <c r="S37" s="99"/>
      <c r="T37" s="102"/>
      <c r="U37" s="99"/>
      <c r="V37" s="99"/>
      <c r="W37" s="99"/>
      <c r="X37" s="99"/>
    </row>
    <row r="38" spans="2:24" ht="12" thickBot="1" x14ac:dyDescent="0.25">
      <c r="B38" s="77"/>
      <c r="C38" s="156" t="s">
        <v>35</v>
      </c>
      <c r="D38" s="168"/>
      <c r="E38" s="66">
        <f>E34+E36</f>
        <v>4380000</v>
      </c>
      <c r="F38" s="2"/>
      <c r="G38" s="61"/>
      <c r="H38" s="111" t="s">
        <v>42</v>
      </c>
      <c r="I38" s="55">
        <f t="shared" si="7"/>
        <v>3</v>
      </c>
      <c r="J38" s="2"/>
      <c r="K38" s="2"/>
      <c r="R38" s="99"/>
      <c r="S38" s="99"/>
      <c r="T38" s="99"/>
      <c r="U38" s="99"/>
      <c r="V38" s="99"/>
      <c r="W38" s="99"/>
      <c r="X38" s="99"/>
    </row>
    <row r="39" spans="2:24" ht="12" thickBot="1" x14ac:dyDescent="0.25">
      <c r="B39" s="42"/>
      <c r="C39" s="156" t="s">
        <v>37</v>
      </c>
      <c r="D39" s="168"/>
      <c r="E39" s="66">
        <f>E35+E37</f>
        <v>721671.68033238989</v>
      </c>
      <c r="F39" s="2"/>
      <c r="G39" s="62"/>
      <c r="H39" s="2"/>
      <c r="I39" s="2"/>
      <c r="J39" s="2"/>
      <c r="K39" s="2"/>
      <c r="R39" s="103"/>
      <c r="S39" s="99"/>
      <c r="T39" s="99"/>
      <c r="U39" s="102"/>
      <c r="V39" s="99"/>
      <c r="W39" s="99"/>
      <c r="X39" s="99"/>
    </row>
    <row r="40" spans="2:24" ht="12" thickBot="1" x14ac:dyDescent="0.25">
      <c r="B40" s="42"/>
      <c r="C40" s="59"/>
      <c r="D40" s="59"/>
      <c r="E40" s="66"/>
      <c r="F40" s="2"/>
      <c r="G40" s="61"/>
      <c r="H40" s="61"/>
      <c r="I40" s="80"/>
      <c r="J40" s="61"/>
      <c r="K40" s="61"/>
      <c r="R40" s="103"/>
      <c r="S40" s="99"/>
      <c r="T40" s="99"/>
      <c r="U40" s="99"/>
      <c r="V40" s="99"/>
      <c r="W40" s="99"/>
      <c r="X40" s="99"/>
    </row>
    <row r="41" spans="2:24" ht="12" thickBot="1" x14ac:dyDescent="0.25">
      <c r="C41" s="151" t="s">
        <v>23</v>
      </c>
      <c r="D41" s="152"/>
      <c r="E41" s="73">
        <f>SUM(K17:K21)</f>
        <v>154150.48543689318</v>
      </c>
      <c r="F41" s="64"/>
      <c r="G41" s="61"/>
      <c r="H41" s="63"/>
      <c r="I41" s="61"/>
      <c r="J41" s="61"/>
      <c r="K41" s="61"/>
      <c r="R41" s="104"/>
      <c r="S41" s="99"/>
      <c r="T41" s="99"/>
      <c r="U41" s="105"/>
      <c r="V41" s="99"/>
      <c r="W41" s="99"/>
      <c r="X41" s="99"/>
    </row>
    <row r="42" spans="2:24" ht="12" thickBot="1" x14ac:dyDescent="0.25">
      <c r="C42" s="151" t="s">
        <v>24</v>
      </c>
      <c r="D42" s="152"/>
      <c r="E42" s="66">
        <f>H23</f>
        <v>154150.48543689327</v>
      </c>
      <c r="F42" s="2"/>
      <c r="G42" s="53"/>
      <c r="H42" s="65"/>
      <c r="I42" s="61"/>
      <c r="J42" s="61"/>
      <c r="K42" s="61"/>
      <c r="R42" s="104"/>
      <c r="S42" s="99"/>
      <c r="T42" s="99"/>
      <c r="U42" s="99"/>
      <c r="V42" s="99"/>
      <c r="W42" s="99"/>
      <c r="X42" s="99"/>
    </row>
    <row r="43" spans="2:24" ht="12" thickBot="1" x14ac:dyDescent="0.25">
      <c r="C43" s="156" t="s">
        <v>12</v>
      </c>
      <c r="D43" s="168"/>
      <c r="E43" s="66">
        <f>SUM(E41:E42)</f>
        <v>308300.97087378649</v>
      </c>
      <c r="F43" s="2"/>
      <c r="G43" s="61"/>
      <c r="H43" s="2"/>
      <c r="I43" s="2"/>
      <c r="J43" s="61"/>
      <c r="K43" s="61"/>
      <c r="R43" s="99"/>
      <c r="S43" s="99"/>
      <c r="T43" s="99"/>
      <c r="U43" s="99"/>
      <c r="V43" s="99"/>
      <c r="W43" s="99"/>
      <c r="X43" s="99"/>
    </row>
    <row r="44" spans="2:24" ht="12" thickBot="1" x14ac:dyDescent="0.25">
      <c r="C44" s="151" t="s">
        <v>25</v>
      </c>
      <c r="D44" s="152"/>
      <c r="E44" s="67">
        <f>SUM(L17:L21)</f>
        <v>43471.581490091063</v>
      </c>
      <c r="F44" s="2"/>
      <c r="G44" s="61"/>
      <c r="H44" s="68"/>
      <c r="I44" s="69" t="s">
        <v>14</v>
      </c>
      <c r="J44" s="61"/>
      <c r="K44" s="61"/>
      <c r="R44" s="99"/>
      <c r="S44" s="99"/>
      <c r="T44" s="99"/>
      <c r="U44" s="99"/>
      <c r="V44" s="99"/>
      <c r="W44" s="99"/>
      <c r="X44" s="99"/>
    </row>
    <row r="45" spans="2:24" ht="12" thickBot="1" x14ac:dyDescent="0.25">
      <c r="C45" s="151" t="s">
        <v>26</v>
      </c>
      <c r="D45" s="152"/>
      <c r="E45" s="66">
        <f>SUM(D23:G23)</f>
        <v>43792.795037230346</v>
      </c>
      <c r="F45" s="2"/>
      <c r="G45" s="2"/>
      <c r="H45" s="68" t="s">
        <v>10</v>
      </c>
      <c r="I45" s="70">
        <f>E38/E43</f>
        <v>14.206896551724133</v>
      </c>
      <c r="J45" s="61"/>
      <c r="K45" s="61"/>
      <c r="R45" s="99"/>
      <c r="S45" s="99"/>
      <c r="T45" s="99"/>
      <c r="U45" s="99"/>
      <c r="V45" s="99"/>
      <c r="W45" s="99"/>
      <c r="X45" s="99"/>
    </row>
    <row r="46" spans="2:24" ht="12" thickBot="1" x14ac:dyDescent="0.25">
      <c r="C46" s="156" t="s">
        <v>13</v>
      </c>
      <c r="D46" s="168"/>
      <c r="E46" s="66">
        <f>SUM(E44:E45)</f>
        <v>87264.376527321409</v>
      </c>
      <c r="F46" s="2"/>
      <c r="G46" s="2"/>
      <c r="H46" s="68" t="s">
        <v>11</v>
      </c>
      <c r="I46" s="70">
        <f>E39/E46</f>
        <v>8.2699459854210193</v>
      </c>
      <c r="J46" s="61"/>
      <c r="K46" s="61"/>
      <c r="R46" s="99"/>
      <c r="S46" s="99"/>
      <c r="T46" s="99"/>
      <c r="U46" s="99"/>
      <c r="V46" s="99"/>
      <c r="W46" s="99"/>
      <c r="X46" s="99"/>
    </row>
    <row r="47" spans="2:24" x14ac:dyDescent="0.2">
      <c r="F47" s="2"/>
      <c r="G47" s="2"/>
      <c r="H47" s="68" t="s">
        <v>57</v>
      </c>
      <c r="I47" s="71">
        <f>2*(ABS(I45-I46))/(I45+I46)</f>
        <v>0.5282726483038469</v>
      </c>
      <c r="J47" s="2"/>
      <c r="K47" s="2"/>
    </row>
    <row r="48" spans="2:24" x14ac:dyDescent="0.2">
      <c r="F48" s="2"/>
      <c r="G48" s="2"/>
      <c r="H48" s="169" t="s">
        <v>27</v>
      </c>
      <c r="I48" s="170"/>
      <c r="J48" s="2"/>
      <c r="K48" s="2"/>
    </row>
    <row r="49" spans="6:11" x14ac:dyDescent="0.2">
      <c r="F49" s="2"/>
      <c r="G49" s="2"/>
      <c r="H49" s="2"/>
      <c r="I49" s="97"/>
      <c r="J49" s="2"/>
      <c r="K49" s="2"/>
    </row>
    <row r="50" spans="6:11" x14ac:dyDescent="0.2">
      <c r="F50" s="2"/>
      <c r="G50" s="2"/>
      <c r="H50" s="2"/>
      <c r="I50" s="2"/>
      <c r="J50" s="2"/>
      <c r="K50" s="2"/>
    </row>
    <row r="51" spans="6:11" x14ac:dyDescent="0.2">
      <c r="G51" s="2"/>
      <c r="J51" s="2"/>
      <c r="K51" s="2"/>
    </row>
    <row r="52" spans="6:11" x14ac:dyDescent="0.2">
      <c r="J52" s="2"/>
      <c r="K52" s="2"/>
    </row>
  </sheetData>
  <mergeCells count="27">
    <mergeCell ref="C44:D44"/>
    <mergeCell ref="C45:D45"/>
    <mergeCell ref="C46:D46"/>
    <mergeCell ref="H48:I48"/>
    <mergeCell ref="C37:D37"/>
    <mergeCell ref="C38:D38"/>
    <mergeCell ref="C39:D39"/>
    <mergeCell ref="C41:D41"/>
    <mergeCell ref="C42:D42"/>
    <mergeCell ref="C43:D43"/>
    <mergeCell ref="H33:I33"/>
    <mergeCell ref="C34:D34"/>
    <mergeCell ref="C35:D35"/>
    <mergeCell ref="C36:D36"/>
    <mergeCell ref="B17:B21"/>
    <mergeCell ref="R23:U23"/>
    <mergeCell ref="C29:D29"/>
    <mergeCell ref="G29:K29"/>
    <mergeCell ref="C30:D30"/>
    <mergeCell ref="C31:D31"/>
    <mergeCell ref="D15:I15"/>
    <mergeCell ref="D2:H2"/>
    <mergeCell ref="D3:H3"/>
    <mergeCell ref="B5:B9"/>
    <mergeCell ref="K6:M6"/>
    <mergeCell ref="D14:I14"/>
    <mergeCell ref="K2:O2"/>
  </mergeCells>
  <pageMargins left="0.7" right="0.7" top="0.75" bottom="0.75" header="0.3" footer="0.3"/>
  <pageSetup paperSize="9" orientation="portrait" r:id="rId1"/>
  <ignoredErrors>
    <ignoredError sqref="M8 M10:M12" formulaRange="1"/>
    <ignoredError sqref="M9" formula="1" formulaRange="1"/>
    <ignoredError sqref="N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Cover</vt:lpstr>
      <vt:lpstr>Capacity CAA</vt:lpstr>
      <vt:lpstr>Commodity CAA</vt:lpstr>
    </vt:vector>
  </TitlesOfParts>
  <Company>GDF SUEZ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LN1136</dc:creator>
  <cp:lastModifiedBy>Markus Oswald</cp:lastModifiedBy>
  <cp:lastPrinted>2016-11-07T15:15:44Z</cp:lastPrinted>
  <dcterms:created xsi:type="dcterms:W3CDTF">2014-01-28T07:22:44Z</dcterms:created>
  <dcterms:modified xsi:type="dcterms:W3CDTF">2017-09-28T06:16:06Z</dcterms:modified>
</cp:coreProperties>
</file>