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/>
  <mc:AlternateContent xmlns:mc="http://schemas.openxmlformats.org/markup-compatibility/2006">
    <mc:Choice Requires="x15">
      <x15ac:absPath xmlns:x15ac="http://schemas.microsoft.com/office/spreadsheetml/2010/11/ac" url="Y:\ENTSOG\170834_entsog_TAR-NC_paper_iDoc_update\Daten_geliefert\170904\Annexes_complete\"/>
    </mc:Choice>
  </mc:AlternateContent>
  <bookViews>
    <workbookView xWindow="0" yWindow="0" windowWidth="28575" windowHeight="13560" tabRatio="568" xr2:uid="{00000000-000D-0000-FFFF-FFFF00000000}"/>
  </bookViews>
  <sheets>
    <sheet name="Cover" sheetId="9" r:id="rId1"/>
    <sheet name="Network representation" sheetId="8" r:id="rId2"/>
    <sheet name="Main sheet" sheetId="4" r:id="rId3"/>
    <sheet name="Distance matrix" sheetId="6" r:id="rId4"/>
    <sheet name="Tariff calculation" sheetId="7" r:id="rId5"/>
    <sheet name="Parameters" sheetId="5" r:id="rId6"/>
  </sheets>
  <definedNames>
    <definedName name="_xlnm._FilterDatabase" localSheetId="2" hidden="1">'Main sheet'!$A$1:$R$26</definedName>
  </definedNames>
  <calcPr calcId="171027"/>
</workbook>
</file>

<file path=xl/calcChain.xml><?xml version="1.0" encoding="utf-8"?>
<calcChain xmlns="http://schemas.openxmlformats.org/spreadsheetml/2006/main">
  <c r="F2" i="7" l="1"/>
  <c r="F23" i="7" l="1"/>
  <c r="F22" i="7"/>
  <c r="F21" i="7"/>
  <c r="F20" i="7"/>
  <c r="F19" i="7"/>
  <c r="F18" i="7"/>
  <c r="F17" i="7"/>
  <c r="F16" i="7"/>
  <c r="F10" i="7"/>
  <c r="F9" i="7"/>
  <c r="F8" i="7"/>
  <c r="F7" i="7"/>
  <c r="F6" i="7"/>
  <c r="F5" i="7"/>
  <c r="F4" i="7"/>
  <c r="F3" i="7"/>
  <c r="D7" i="6"/>
  <c r="D8" i="6"/>
  <c r="D9" i="6"/>
  <c r="D10" i="6"/>
  <c r="D11" i="6"/>
  <c r="D12" i="6"/>
  <c r="D13" i="6"/>
  <c r="D14" i="6"/>
  <c r="D15" i="6"/>
  <c r="D16" i="6"/>
  <c r="D6" i="6"/>
  <c r="R4" i="6"/>
  <c r="Q4" i="6"/>
  <c r="P4" i="6"/>
  <c r="O4" i="6"/>
  <c r="N4" i="6"/>
  <c r="M4" i="6"/>
  <c r="L4" i="6"/>
  <c r="K4" i="6"/>
  <c r="J4" i="6"/>
  <c r="I4" i="6"/>
  <c r="H4" i="6"/>
  <c r="G4" i="6"/>
  <c r="F4" i="6"/>
  <c r="B7" i="5"/>
  <c r="B6" i="5"/>
  <c r="Q4" i="4"/>
  <c r="E6" i="6" s="1"/>
  <c r="R4" i="4"/>
  <c r="Q5" i="4"/>
  <c r="G5" i="6" s="1"/>
  <c r="R5" i="4"/>
  <c r="C3" i="7" s="1"/>
  <c r="Q6" i="4"/>
  <c r="E7" i="6" s="1"/>
  <c r="R6" i="4"/>
  <c r="C17" i="7" s="1"/>
  <c r="Q7" i="4"/>
  <c r="H5" i="6" s="1"/>
  <c r="R7" i="4"/>
  <c r="Q8" i="4"/>
  <c r="E8" i="6" s="1"/>
  <c r="R8" i="4"/>
  <c r="Q9" i="4"/>
  <c r="I5" i="6" s="1"/>
  <c r="R9" i="4"/>
  <c r="Q10" i="4"/>
  <c r="J5" i="6" s="1"/>
  <c r="R10" i="4"/>
  <c r="Q11" i="4"/>
  <c r="K5" i="6" s="1"/>
  <c r="R11" i="4"/>
  <c r="Q12" i="4"/>
  <c r="L5" i="6" s="1"/>
  <c r="R12" i="4"/>
  <c r="Q13" i="4"/>
  <c r="E9" i="6" s="1"/>
  <c r="R13" i="4"/>
  <c r="Q14" i="4"/>
  <c r="M5" i="6" s="1"/>
  <c r="R14" i="4"/>
  <c r="C6" i="7" s="1"/>
  <c r="Q15" i="4"/>
  <c r="E10" i="6" s="1"/>
  <c r="R15" i="4"/>
  <c r="C19" i="7" s="1"/>
  <c r="Q16" i="4"/>
  <c r="N5" i="6" s="1"/>
  <c r="R16" i="4"/>
  <c r="C7" i="7" s="1"/>
  <c r="Q17" i="4"/>
  <c r="O5" i="6" s="1"/>
  <c r="R17" i="4"/>
  <c r="C8" i="7" s="1"/>
  <c r="Q18" i="4"/>
  <c r="E11" i="6" s="1"/>
  <c r="R18" i="4"/>
  <c r="C20" i="7" s="1"/>
  <c r="Q19" i="4"/>
  <c r="P5" i="6" s="1"/>
  <c r="R19" i="4"/>
  <c r="Q20" i="4"/>
  <c r="Q5" i="6" s="1"/>
  <c r="R20" i="4"/>
  <c r="C9" i="7" s="1"/>
  <c r="Q21" i="4"/>
  <c r="E12" i="6" s="1"/>
  <c r="R21" i="4"/>
  <c r="C21" i="7" s="1"/>
  <c r="Q22" i="4"/>
  <c r="E13" i="6" s="1"/>
  <c r="R22" i="4"/>
  <c r="Q23" i="4"/>
  <c r="E14" i="6" s="1"/>
  <c r="R23" i="4"/>
  <c r="Q24" i="4"/>
  <c r="E15" i="6" s="1"/>
  <c r="R24" i="4"/>
  <c r="Q25" i="4"/>
  <c r="R5" i="6" s="1"/>
  <c r="R25" i="4"/>
  <c r="C10" i="7" s="1"/>
  <c r="Q26" i="4"/>
  <c r="E16" i="6" s="1"/>
  <c r="R26" i="4"/>
  <c r="C23" i="7" s="1"/>
  <c r="R3" i="4"/>
  <c r="Q3" i="4"/>
  <c r="F5" i="6" s="1"/>
  <c r="C4" i="7" l="1"/>
  <c r="C18" i="7"/>
  <c r="C2" i="7"/>
  <c r="C16" i="7"/>
  <c r="C5" i="7"/>
  <c r="C22" i="7"/>
  <c r="S12" i="6"/>
  <c r="J17" i="6"/>
  <c r="S9" i="6"/>
  <c r="Q17" i="6"/>
  <c r="S16" i="6"/>
  <c r="P17" i="6"/>
  <c r="L17" i="6"/>
  <c r="H17" i="6"/>
  <c r="S15" i="6"/>
  <c r="S11" i="6"/>
  <c r="S7" i="6"/>
  <c r="M17" i="6"/>
  <c r="F17" i="6"/>
  <c r="O17" i="6"/>
  <c r="K17" i="6"/>
  <c r="G17" i="6"/>
  <c r="S14" i="6"/>
  <c r="S10" i="6"/>
  <c r="I17" i="6"/>
  <c r="S8" i="6"/>
  <c r="R17" i="6"/>
  <c r="N17" i="6"/>
  <c r="S6" i="6"/>
  <c r="S13" i="6"/>
  <c r="R18" i="6" l="1"/>
  <c r="B10" i="7" s="1"/>
  <c r="D10" i="7" s="1"/>
  <c r="E10" i="7" s="1"/>
  <c r="G10" i="7" s="1"/>
  <c r="T14" i="6"/>
  <c r="T15" i="6"/>
  <c r="T8" i="6"/>
  <c r="G18" i="6"/>
  <c r="B3" i="7" s="1"/>
  <c r="D3" i="7" s="1"/>
  <c r="E3" i="7" s="1"/>
  <c r="G3" i="7" s="1"/>
  <c r="M18" i="6"/>
  <c r="B6" i="7" s="1"/>
  <c r="D6" i="7" s="1"/>
  <c r="E6" i="7" s="1"/>
  <c r="G6" i="7" s="1"/>
  <c r="H18" i="6"/>
  <c r="Q18" i="6"/>
  <c r="B9" i="7" s="1"/>
  <c r="D9" i="7" s="1"/>
  <c r="E9" i="7" s="1"/>
  <c r="G9" i="7" s="1"/>
  <c r="T16" i="6"/>
  <c r="B23" i="7" s="1"/>
  <c r="D23" i="7" s="1"/>
  <c r="E23" i="7" s="1"/>
  <c r="G23" i="7" s="1"/>
  <c r="T13" i="6"/>
  <c r="B22" i="7" s="1"/>
  <c r="D22" i="7" s="1"/>
  <c r="E22" i="7" s="1"/>
  <c r="G22" i="7" s="1"/>
  <c r="T6" i="6"/>
  <c r="I18" i="6"/>
  <c r="K18" i="6"/>
  <c r="T7" i="6"/>
  <c r="B17" i="7" s="1"/>
  <c r="D17" i="7" s="1"/>
  <c r="E17" i="7" s="1"/>
  <c r="G17" i="7" s="1"/>
  <c r="L18" i="6"/>
  <c r="T9" i="6"/>
  <c r="B18" i="7" s="1"/>
  <c r="D18" i="7" s="1"/>
  <c r="E18" i="7" s="1"/>
  <c r="G18" i="7" s="1"/>
  <c r="F18" i="6"/>
  <c r="T12" i="6"/>
  <c r="B21" i="7" s="1"/>
  <c r="D21" i="7" s="1"/>
  <c r="E21" i="7" s="1"/>
  <c r="G21" i="7" s="1"/>
  <c r="N18" i="6"/>
  <c r="B7" i="7" s="1"/>
  <c r="D7" i="7" s="1"/>
  <c r="E7" i="7" s="1"/>
  <c r="G7" i="7" s="1"/>
  <c r="T10" i="6"/>
  <c r="B19" i="7" s="1"/>
  <c r="D19" i="7" s="1"/>
  <c r="E19" i="7" s="1"/>
  <c r="G19" i="7" s="1"/>
  <c r="O18" i="6"/>
  <c r="B8" i="7" s="1"/>
  <c r="D8" i="7" s="1"/>
  <c r="E8" i="7" s="1"/>
  <c r="G8" i="7" s="1"/>
  <c r="T11" i="6"/>
  <c r="B20" i="7" s="1"/>
  <c r="D20" i="7" s="1"/>
  <c r="E20" i="7" s="1"/>
  <c r="G20" i="7" s="1"/>
  <c r="P18" i="6"/>
  <c r="J18" i="6"/>
  <c r="B2" i="7" l="1"/>
  <c r="D2" i="7" s="1"/>
  <c r="E2" i="7" s="1"/>
  <c r="G2" i="7" s="1"/>
  <c r="B5" i="7"/>
  <c r="D5" i="7" s="1"/>
  <c r="E5" i="7" s="1"/>
  <c r="G5" i="7" s="1"/>
  <c r="B16" i="7"/>
  <c r="D16" i="7" s="1"/>
  <c r="E16" i="7" s="1"/>
  <c r="G16" i="7" s="1"/>
  <c r="B4" i="7"/>
  <c r="D4" i="7" s="1"/>
  <c r="E4" i="7" s="1"/>
  <c r="G4" i="7" s="1"/>
  <c r="G11" i="7" l="1"/>
  <c r="G12" i="7" s="1"/>
  <c r="H10" i="7" s="1"/>
  <c r="E25" i="4" s="1"/>
  <c r="G24" i="7"/>
  <c r="G25" i="7" s="1"/>
  <c r="H16" i="7" s="1"/>
  <c r="H2" i="7" l="1"/>
  <c r="E7" i="4" s="1"/>
  <c r="H8" i="7"/>
  <c r="E17" i="4" s="1"/>
  <c r="H6" i="7"/>
  <c r="E14" i="4" s="1"/>
  <c r="H9" i="7"/>
  <c r="E20" i="4" s="1"/>
  <c r="H4" i="7"/>
  <c r="E10" i="4" s="1"/>
  <c r="H7" i="7"/>
  <c r="E16" i="4" s="1"/>
  <c r="H5" i="7"/>
  <c r="E11" i="4" s="1"/>
  <c r="H3" i="7"/>
  <c r="E5" i="4" s="1"/>
  <c r="E4" i="4"/>
  <c r="E8" i="4"/>
  <c r="H19" i="7"/>
  <c r="E15" i="4" s="1"/>
  <c r="H22" i="7"/>
  <c r="H21" i="7"/>
  <c r="E21" i="4" s="1"/>
  <c r="H20" i="7"/>
  <c r="H23" i="7"/>
  <c r="E26" i="4" s="1"/>
  <c r="H18" i="7"/>
  <c r="H17" i="7"/>
  <c r="E6" i="4" s="1"/>
  <c r="E9" i="4" l="1"/>
  <c r="E12" i="4"/>
  <c r="E3" i="4"/>
  <c r="H11" i="7"/>
  <c r="E19" i="4"/>
  <c r="E24" i="4"/>
  <c r="E13" i="4"/>
  <c r="E22" i="4"/>
  <c r="E23" i="4"/>
  <c r="H24" i="7"/>
  <c r="E1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Irina Oshchepkova</author>
  </authors>
  <commentList>
    <comment ref="S2" authorId="0" shapeId="0" xr:uid="{00000000-0006-0000-0200-000001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2.a.ii</t>
        </r>
      </text>
    </comment>
    <comment ref="T2" authorId="0" shapeId="0" xr:uid="{00000000-0006-0000-0200-000002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2.b</t>
        </r>
      </text>
    </comment>
    <comment ref="B17" authorId="0" shapeId="0" xr:uid="{00000000-0006-0000-0200-000003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2.a.i</t>
        </r>
      </text>
    </comment>
    <comment ref="B18" authorId="0" shapeId="0" xr:uid="{00000000-0006-0000-0200-000004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2.b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Irina Oshchepkova</author>
  </authors>
  <commentList>
    <comment ref="D1" authorId="0" shapeId="0" xr:uid="{00000000-0006-0000-0300-000001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2.d</t>
        </r>
      </text>
    </comment>
    <comment ref="E1" authorId="0" shapeId="0" xr:uid="{00000000-0006-0000-0300-000002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2.e</t>
        </r>
      </text>
    </comment>
    <comment ref="D15" authorId="0" shapeId="0" xr:uid="{00000000-0006-0000-0300-000003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2.d</t>
        </r>
      </text>
    </comment>
    <comment ref="E15" authorId="0" shapeId="0" xr:uid="{00000000-0006-0000-0300-000004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Irina Oshchepkova</author>
  </authors>
  <commentList>
    <comment ref="B6" authorId="0" shapeId="0" xr:uid="{00000000-0006-0000-0400-000001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2.c</t>
        </r>
      </text>
    </comment>
    <comment ref="B7" authorId="0" shapeId="0" xr:uid="{00000000-0006-0000-0400-000002000000}">
      <text>
        <r>
          <rPr>
            <b/>
            <sz val="9"/>
            <color indexed="81"/>
            <rFont val="Tahoma"/>
            <charset val="1"/>
          </rPr>
          <t>Irina Oshchepkova:</t>
        </r>
        <r>
          <rPr>
            <sz val="9"/>
            <color indexed="81"/>
            <rFont val="Tahoma"/>
            <charset val="1"/>
          </rPr>
          <t xml:space="preserve">
Step 2.c</t>
        </r>
      </text>
    </comment>
  </commentList>
</comments>
</file>

<file path=xl/sharedStrings.xml><?xml version="1.0" encoding="utf-8"?>
<sst xmlns="http://schemas.openxmlformats.org/spreadsheetml/2006/main" count="268" uniqueCount="86">
  <si>
    <t>D</t>
  </si>
  <si>
    <t>E</t>
  </si>
  <si>
    <t>F</t>
  </si>
  <si>
    <t>G</t>
  </si>
  <si>
    <t>H</t>
  </si>
  <si>
    <t>J</t>
  </si>
  <si>
    <t>L</t>
  </si>
  <si>
    <t>N</t>
  </si>
  <si>
    <t>O</t>
  </si>
  <si>
    <t>P</t>
  </si>
  <si>
    <t>Q</t>
  </si>
  <si>
    <t>R</t>
  </si>
  <si>
    <t>Entry</t>
  </si>
  <si>
    <t>Exit</t>
  </si>
  <si>
    <t>Type</t>
  </si>
  <si>
    <t>Storage</t>
  </si>
  <si>
    <t>IP</t>
  </si>
  <si>
    <t>Production</t>
  </si>
  <si>
    <t>LNG</t>
  </si>
  <si>
    <t>Consumption</t>
  </si>
  <si>
    <t>Entry Exit Split</t>
  </si>
  <si>
    <t>Entry TSO Revenue to cover</t>
  </si>
  <si>
    <t>Exit TSO Revenue to cover</t>
  </si>
  <si>
    <t>Entry points</t>
  </si>
  <si>
    <t>Exit points</t>
  </si>
  <si>
    <t>no</t>
  </si>
  <si>
    <t xml:space="preserve">TSO Revenue to be covered by Capacity Charges </t>
  </si>
  <si>
    <t>Name</t>
  </si>
  <si>
    <t>Entry - Exit</t>
  </si>
  <si>
    <t>Monthly firm capacity</t>
  </si>
  <si>
    <t>Daily firm capacity</t>
  </si>
  <si>
    <t>Annual firm capacity</t>
  </si>
  <si>
    <t>Quarterly firm capacity</t>
  </si>
  <si>
    <t>Annual interruptible capacity</t>
  </si>
  <si>
    <t>Quarterly interruptible capacity</t>
  </si>
  <si>
    <t>Monthly interruptible capacity</t>
  </si>
  <si>
    <t>Daily interruptible capacity</t>
  </si>
  <si>
    <t>ex-ante discount interruptible capacity</t>
  </si>
  <si>
    <t>A_Y</t>
  </si>
  <si>
    <t>A_X</t>
  </si>
  <si>
    <t>B_Y</t>
  </si>
  <si>
    <t>B_X</t>
  </si>
  <si>
    <t>C_X</t>
  </si>
  <si>
    <t>C_Y</t>
  </si>
  <si>
    <t>I_X</t>
  </si>
  <si>
    <t>I_Y</t>
  </si>
  <si>
    <t>K_Y</t>
  </si>
  <si>
    <t>K_X</t>
  </si>
  <si>
    <t>M_X</t>
  </si>
  <si>
    <t>M_Y</t>
  </si>
  <si>
    <t>Within-day firm capacity</t>
  </si>
  <si>
    <t>Within-day interruptible capacity</t>
  </si>
  <si>
    <t>Forecast of booked interruptible capacity (annual average)</t>
  </si>
  <si>
    <t>Forecast of booked firm capacity (annual average)</t>
  </si>
  <si>
    <t>Overall average capacity</t>
  </si>
  <si>
    <t>Multipliers</t>
  </si>
  <si>
    <t>Quarterly capacity</t>
  </si>
  <si>
    <t>Monthly capacity</t>
  </si>
  <si>
    <t>Daily capacity</t>
  </si>
  <si>
    <t>within-day capacity</t>
  </si>
  <si>
    <t>x</t>
  </si>
  <si>
    <t>Capacity weighted average distance (entry points)</t>
  </si>
  <si>
    <t>Capacity weighted average distance (exit points)</t>
  </si>
  <si>
    <t>Storage discount</t>
  </si>
  <si>
    <t>Storage_Y</t>
  </si>
  <si>
    <t>Storage_X</t>
  </si>
  <si>
    <t>Cons_West</t>
  </si>
  <si>
    <t>Cons_East</t>
  </si>
  <si>
    <t>Cluster</t>
  </si>
  <si>
    <t>Weight of costs (entry points)</t>
  </si>
  <si>
    <t>Weight of costs (exit points)</t>
  </si>
  <si>
    <t>Entry cluster</t>
  </si>
  <si>
    <t>Sum of weights of costs</t>
  </si>
  <si>
    <t>Sum of adjusted forecasted bookings</t>
  </si>
  <si>
    <t>Adjusted average bookings</t>
  </si>
  <si>
    <t>Overall average bookings</t>
  </si>
  <si>
    <t>Revenues to be obtained</t>
  </si>
  <si>
    <t>Initial tariff</t>
  </si>
  <si>
    <t>Adjusted tariff</t>
  </si>
  <si>
    <t>Discount due to Art. 9</t>
  </si>
  <si>
    <t>Sum of revenues</t>
  </si>
  <si>
    <t>Rescaled tariff</t>
  </si>
  <si>
    <t>Rescaling multiplier</t>
  </si>
  <si>
    <t>Exit cluster</t>
  </si>
  <si>
    <t>Reserve price</t>
  </si>
  <si>
    <t>LNG discount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</si>
</sst>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#,##0.0000_ ;\-#,##0.0000\ "/>
  </numFmts>
  <fonts count="18" x14ac:knownFonts="1">
    <font>
      <sz val="11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name val="Calibri"/>
      <family val="2"/>
    </font>
    <font>
      <b/>
      <sz val="14"/>
      <color rgb="FFFFFFFF"/>
      <name val="Calibri"/>
      <family val="2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name val="Calibri"/>
      <family val="2"/>
    </font>
    <font>
      <b/>
      <sz val="11"/>
      <color rgb="FFFFFFFF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rgb="FF2A3F82"/>
        <bgColor indexed="64"/>
      </patternFill>
    </fill>
    <fill>
      <patternFill patternType="solid">
        <fgColor theme="0" tint="0.599963377788628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medium">
        <color indexed="64"/>
      </top>
      <bottom style="medium">
        <color theme="4" tint="0.39997558519241921"/>
      </bottom>
      <diagonal/>
    </border>
    <border>
      <left/>
      <right/>
      <top style="medium">
        <color indexed="64"/>
      </top>
      <bottom style="medium">
        <color theme="4" tint="0.39997558519241921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/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medium">
        <color indexed="64"/>
      </bottom>
      <diagonal/>
    </border>
    <border>
      <left style="thin">
        <color rgb="FF3F3F3F"/>
      </left>
      <right style="medium">
        <color indexed="64"/>
      </right>
      <top/>
      <bottom style="thin">
        <color rgb="FF3F3F3F"/>
      </bottom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</borders>
  <cellStyleXfs count="1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Alignment="0" applyProtection="0"/>
    <xf numFmtId="0" fontId="2" fillId="0" borderId="0" applyNumberFormat="0" applyAlignment="0" applyProtection="0"/>
    <xf numFmtId="0" fontId="3" fillId="5" borderId="0" applyBorder="0" applyAlignment="0" applyProtection="0"/>
    <xf numFmtId="0" fontId="1" fillId="4" borderId="0" applyAlignment="0" applyProtection="0"/>
    <xf numFmtId="0" fontId="2" fillId="0" borderId="0" applyAlignment="0" applyProtection="0"/>
    <xf numFmtId="0" fontId="4" fillId="0" borderId="0"/>
    <xf numFmtId="0" fontId="9" fillId="0" borderId="12" applyNumberFormat="0" applyFill="0" applyAlignment="0" applyProtection="0"/>
    <xf numFmtId="0" fontId="10" fillId="6" borderId="13" applyNumberFormat="0" applyAlignment="0" applyProtection="0"/>
    <xf numFmtId="0" fontId="11" fillId="7" borderId="14" applyNumberFormat="0" applyAlignment="0" applyProtection="0"/>
    <xf numFmtId="0" fontId="12" fillId="7" borderId="13" applyNumberFormat="0" applyAlignment="0" applyProtection="0"/>
    <xf numFmtId="0" fontId="13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3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10" xfId="0" applyBorder="1"/>
    <xf numFmtId="0" fontId="0" fillId="0" borderId="8" xfId="0" applyBorder="1"/>
    <xf numFmtId="0" fontId="0" fillId="0" borderId="5" xfId="0" applyBorder="1"/>
    <xf numFmtId="0" fontId="0" fillId="0" borderId="4" xfId="0" applyBorder="1"/>
    <xf numFmtId="0" fontId="6" fillId="0" borderId="0" xfId="0" applyFont="1" applyBorder="1"/>
    <xf numFmtId="0" fontId="8" fillId="0" borderId="0" xfId="0" applyFont="1" applyBorder="1"/>
    <xf numFmtId="0" fontId="0" fillId="0" borderId="11" xfId="0" applyBorder="1"/>
    <xf numFmtId="164" fontId="0" fillId="0" borderId="0" xfId="0" applyNumberFormat="1"/>
    <xf numFmtId="0" fontId="5" fillId="0" borderId="0" xfId="0" applyFont="1"/>
    <xf numFmtId="0" fontId="5" fillId="0" borderId="3" xfId="0" applyFont="1" applyBorder="1"/>
    <xf numFmtId="0" fontId="5" fillId="0" borderId="0" xfId="0" applyFont="1" applyBorder="1"/>
    <xf numFmtId="0" fontId="10" fillId="6" borderId="13" xfId="9" applyFont="1" applyBorder="1"/>
    <xf numFmtId="0" fontId="12" fillId="7" borderId="17" xfId="11" applyFont="1" applyBorder="1"/>
    <xf numFmtId="0" fontId="5" fillId="0" borderId="7" xfId="0" applyFont="1" applyBorder="1"/>
    <xf numFmtId="0" fontId="5" fillId="0" borderId="10" xfId="0" applyFont="1" applyBorder="1"/>
    <xf numFmtId="0" fontId="10" fillId="6" borderId="18" xfId="9" applyFont="1" applyBorder="1"/>
    <xf numFmtId="0" fontId="12" fillId="7" borderId="19" xfId="11" applyFont="1" applyBorder="1"/>
    <xf numFmtId="0" fontId="10" fillId="6" borderId="20" xfId="9" applyFont="1" applyBorder="1"/>
    <xf numFmtId="0" fontId="12" fillId="7" borderId="21" xfId="11" applyFont="1" applyBorder="1"/>
    <xf numFmtId="0" fontId="14" fillId="0" borderId="10" xfId="3" applyFont="1" applyBorder="1"/>
    <xf numFmtId="0" fontId="5" fillId="0" borderId="6" xfId="0" applyFont="1" applyBorder="1"/>
    <xf numFmtId="0" fontId="5" fillId="0" borderId="8" xfId="0" applyFont="1" applyBorder="1"/>
    <xf numFmtId="9" fontId="10" fillId="6" borderId="28" xfId="9" applyNumberFormat="1" applyFont="1" applyBorder="1"/>
    <xf numFmtId="9" fontId="10" fillId="6" borderId="29" xfId="9" applyNumberFormat="1" applyFont="1" applyBorder="1"/>
    <xf numFmtId="9" fontId="10" fillId="6" borderId="30" xfId="9" applyNumberFormat="1" applyFont="1" applyBorder="1"/>
    <xf numFmtId="165" fontId="11" fillId="7" borderId="31" xfId="10" applyNumberFormat="1" applyFont="1" applyBorder="1"/>
    <xf numFmtId="165" fontId="11" fillId="7" borderId="32" xfId="10" applyNumberFormat="1" applyFont="1" applyBorder="1"/>
    <xf numFmtId="165" fontId="11" fillId="7" borderId="33" xfId="10" applyNumberFormat="1" applyFont="1" applyBorder="1"/>
    <xf numFmtId="0" fontId="14" fillId="0" borderId="7" xfId="3" applyFont="1" applyBorder="1"/>
    <xf numFmtId="0" fontId="14" fillId="0" borderId="8" xfId="3" applyFont="1" applyBorder="1"/>
    <xf numFmtId="0" fontId="10" fillId="6" borderId="34" xfId="9" applyFont="1" applyBorder="1"/>
    <xf numFmtId="0" fontId="10" fillId="6" borderId="21" xfId="9" applyFont="1" applyBorder="1"/>
    <xf numFmtId="0" fontId="10" fillId="6" borderId="35" xfId="9" applyFont="1" applyBorder="1"/>
    <xf numFmtId="0" fontId="10" fillId="6" borderId="17" xfId="9" applyFont="1" applyBorder="1"/>
    <xf numFmtId="0" fontId="10" fillId="6" borderId="36" xfId="9" applyFont="1" applyBorder="1"/>
    <xf numFmtId="0" fontId="10" fillId="6" borderId="19" xfId="9" applyFont="1" applyBorder="1"/>
    <xf numFmtId="0" fontId="12" fillId="7" borderId="22" xfId="11" applyFont="1" applyBorder="1"/>
    <xf numFmtId="0" fontId="12" fillId="7" borderId="23" xfId="11" applyFont="1" applyBorder="1"/>
    <xf numFmtId="0" fontId="12" fillId="7" borderId="24" xfId="11" applyFont="1" applyBorder="1"/>
    <xf numFmtId="0" fontId="12" fillId="7" borderId="20" xfId="11" applyBorder="1"/>
    <xf numFmtId="0" fontId="7" fillId="0" borderId="0" xfId="0" applyFont="1" applyBorder="1"/>
    <xf numFmtId="0" fontId="7" fillId="0" borderId="10" xfId="0" applyFont="1" applyBorder="1"/>
    <xf numFmtId="0" fontId="12" fillId="7" borderId="34" xfId="11" applyBorder="1"/>
    <xf numFmtId="0" fontId="12" fillId="7" borderId="21" xfId="11" applyBorder="1"/>
    <xf numFmtId="0" fontId="12" fillId="7" borderId="36" xfId="11" applyBorder="1"/>
    <xf numFmtId="0" fontId="12" fillId="7" borderId="18" xfId="11" applyBorder="1"/>
    <xf numFmtId="0" fontId="12" fillId="7" borderId="19" xfId="11" applyBorder="1"/>
    <xf numFmtId="0" fontId="7" fillId="0" borderId="11" xfId="0" applyFont="1" applyBorder="1"/>
    <xf numFmtId="0" fontId="12" fillId="7" borderId="39" xfId="11" applyBorder="1"/>
    <xf numFmtId="0" fontId="12" fillId="7" borderId="40" xfId="11" applyBorder="1"/>
    <xf numFmtId="0" fontId="12" fillId="7" borderId="35" xfId="11" applyBorder="1"/>
    <xf numFmtId="0" fontId="12" fillId="7" borderId="17" xfId="11" applyBorder="1"/>
    <xf numFmtId="0" fontId="13" fillId="0" borderId="11" xfId="12" applyBorder="1"/>
    <xf numFmtId="0" fontId="13" fillId="0" borderId="0" xfId="12" applyBorder="1"/>
    <xf numFmtId="0" fontId="13" fillId="0" borderId="10" xfId="12" applyBorder="1"/>
    <xf numFmtId="0" fontId="13" fillId="0" borderId="3" xfId="12" applyBorder="1"/>
    <xf numFmtId="0" fontId="13" fillId="0" borderId="6" xfId="12" applyBorder="1"/>
    <xf numFmtId="0" fontId="13" fillId="7" borderId="13" xfId="12" applyFill="1" applyBorder="1"/>
    <xf numFmtId="0" fontId="12" fillId="7" borderId="13" xfId="11" applyBorder="1"/>
    <xf numFmtId="0" fontId="11" fillId="7" borderId="41" xfId="10" applyBorder="1"/>
    <xf numFmtId="0" fontId="13" fillId="7" borderId="18" xfId="12" applyFill="1" applyBorder="1"/>
    <xf numFmtId="0" fontId="11" fillId="7" borderId="42" xfId="10" applyBorder="1"/>
    <xf numFmtId="0" fontId="12" fillId="7" borderId="23" xfId="11" applyBorder="1"/>
    <xf numFmtId="0" fontId="12" fillId="7" borderId="24" xfId="11" applyBorder="1"/>
    <xf numFmtId="0" fontId="0" fillId="0" borderId="26" xfId="0" applyBorder="1"/>
    <xf numFmtId="0" fontId="0" fillId="0" borderId="37" xfId="0" applyBorder="1"/>
    <xf numFmtId="0" fontId="0" fillId="0" borderId="27" xfId="0" applyBorder="1"/>
    <xf numFmtId="0" fontId="12" fillId="7" borderId="22" xfId="11" applyBorder="1"/>
    <xf numFmtId="0" fontId="13" fillId="7" borderId="20" xfId="12" applyFill="1" applyBorder="1"/>
    <xf numFmtId="0" fontId="11" fillId="7" borderId="43" xfId="10" applyBorder="1"/>
    <xf numFmtId="0" fontId="0" fillId="0" borderId="9" xfId="0" applyBorder="1"/>
    <xf numFmtId="0" fontId="0" fillId="0" borderId="38" xfId="0" applyBorder="1"/>
    <xf numFmtId="0" fontId="0" fillId="0" borderId="2" xfId="0" applyBorder="1"/>
    <xf numFmtId="9" fontId="10" fillId="6" borderId="44" xfId="9" applyNumberFormat="1" applyBorder="1"/>
    <xf numFmtId="0" fontId="10" fillId="6" borderId="45" xfId="9" applyBorder="1"/>
    <xf numFmtId="0" fontId="10" fillId="6" borderId="46" xfId="9" applyBorder="1"/>
    <xf numFmtId="0" fontId="0" fillId="0" borderId="1" xfId="0" applyBorder="1"/>
    <xf numFmtId="0" fontId="12" fillId="7" borderId="47" xfId="11" applyBorder="1"/>
    <xf numFmtId="0" fontId="10" fillId="6" borderId="48" xfId="9" applyBorder="1"/>
    <xf numFmtId="0" fontId="10" fillId="6" borderId="49" xfId="9" applyBorder="1"/>
    <xf numFmtId="0" fontId="10" fillId="6" borderId="50" xfId="9" applyBorder="1"/>
    <xf numFmtId="164" fontId="10" fillId="6" borderId="51" xfId="9" applyNumberFormat="1" applyBorder="1"/>
    <xf numFmtId="9" fontId="10" fillId="6" borderId="29" xfId="9" applyNumberFormat="1" applyBorder="1"/>
    <xf numFmtId="164" fontId="12" fillId="7" borderId="29" xfId="11" applyNumberFormat="1" applyBorder="1"/>
    <xf numFmtId="164" fontId="12" fillId="7" borderId="30" xfId="11" applyNumberFormat="1" applyBorder="1"/>
    <xf numFmtId="9" fontId="10" fillId="6" borderId="9" xfId="9" applyNumberFormat="1" applyBorder="1"/>
    <xf numFmtId="0" fontId="9" fillId="0" borderId="25" xfId="8" applyFont="1" applyBorder="1" applyAlignment="1">
      <alignment horizontal="center"/>
    </xf>
    <xf numFmtId="0" fontId="9" fillId="0" borderId="8" xfId="8" applyFont="1" applyBorder="1" applyAlignment="1">
      <alignment horizontal="center"/>
    </xf>
    <xf numFmtId="0" fontId="9" fillId="0" borderId="16" xfId="8" applyFont="1" applyBorder="1" applyAlignment="1">
      <alignment horizontal="center"/>
    </xf>
    <xf numFmtId="0" fontId="9" fillId="0" borderId="10" xfId="8" applyFont="1" applyBorder="1" applyAlignment="1">
      <alignment horizontal="center"/>
    </xf>
    <xf numFmtId="0" fontId="9" fillId="0" borderId="15" xfId="8" applyFont="1" applyBorder="1" applyAlignment="1">
      <alignment horizontal="center"/>
    </xf>
    <xf numFmtId="0" fontId="9" fillId="0" borderId="7" xfId="8" applyFont="1" applyBorder="1" applyAlignment="1">
      <alignment horizontal="center"/>
    </xf>
    <xf numFmtId="0" fontId="14" fillId="0" borderId="4" xfId="3" applyFont="1" applyBorder="1" applyAlignment="1">
      <alignment horizontal="center"/>
    </xf>
    <xf numFmtId="0" fontId="14" fillId="0" borderId="11" xfId="3" applyFont="1" applyBorder="1" applyAlignment="1">
      <alignment horizontal="center"/>
    </xf>
    <xf numFmtId="0" fontId="14" fillId="0" borderId="5" xfId="3" applyFont="1" applyBorder="1" applyAlignment="1">
      <alignment horizontal="center"/>
    </xf>
    <xf numFmtId="0" fontId="14" fillId="0" borderId="26" xfId="3" applyFont="1" applyBorder="1" applyAlignment="1">
      <alignment horizontal="center" wrapText="1"/>
    </xf>
    <xf numFmtId="0" fontId="14" fillId="0" borderId="27" xfId="3" applyFont="1" applyBorder="1" applyAlignment="1">
      <alignment horizontal="center" wrapText="1"/>
    </xf>
    <xf numFmtId="0" fontId="14" fillId="0" borderId="10" xfId="3" applyFont="1" applyBorder="1" applyAlignment="1">
      <alignment horizontal="center"/>
    </xf>
    <xf numFmtId="0" fontId="14" fillId="0" borderId="8" xfId="3" applyFont="1" applyBorder="1" applyAlignment="1">
      <alignment horizontal="center"/>
    </xf>
    <xf numFmtId="0" fontId="15" fillId="2" borderId="26" xfId="1" applyFont="1" applyBorder="1" applyAlignment="1">
      <alignment horizontal="center" wrapText="1"/>
    </xf>
    <xf numFmtId="0" fontId="15" fillId="2" borderId="27" xfId="1" applyFont="1" applyBorder="1" applyAlignment="1">
      <alignment horizontal="center" wrapText="1"/>
    </xf>
    <xf numFmtId="0" fontId="0" fillId="0" borderId="4" xfId="0" applyBorder="1" applyAlignment="1">
      <alignment horizontal="right" wrapText="1"/>
    </xf>
    <xf numFmtId="0" fontId="0" fillId="0" borderId="11" xfId="0" applyBorder="1" applyAlignment="1">
      <alignment horizontal="right" wrapText="1"/>
    </xf>
    <xf numFmtId="0" fontId="0" fillId="0" borderId="5" xfId="0" applyBorder="1" applyAlignment="1">
      <alignment horizontal="right" wrapText="1"/>
    </xf>
    <xf numFmtId="0" fontId="0" fillId="0" borderId="7" xfId="0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6" xfId="0" applyBorder="1" applyAlignment="1">
      <alignment horizontal="center" vertical="center" textRotation="90"/>
    </xf>
    <xf numFmtId="0" fontId="0" fillId="0" borderId="37" xfId="0" applyBorder="1" applyAlignment="1">
      <alignment horizontal="center" vertical="center" textRotation="90"/>
    </xf>
    <xf numFmtId="0" fontId="0" fillId="0" borderId="27" xfId="0" applyBorder="1" applyAlignment="1">
      <alignment horizontal="center" vertical="center" textRotation="90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7" xfId="0" applyBorder="1" applyAlignment="1">
      <alignment horizontal="left" wrapText="1"/>
    </xf>
  </cellXfs>
  <cellStyles count="13">
    <cellStyle name="Ausgabe" xfId="10" builtinId="21"/>
    <cellStyle name="Berechnung" xfId="11" builtinId="22"/>
    <cellStyle name="E Head0" xfId="4" xr:uid="{00000000-0005-0000-0000-000001000000}"/>
    <cellStyle name="E Head1" xfId="5" xr:uid="{00000000-0005-0000-0000-000002000000}"/>
    <cellStyle name="E Head2" xfId="6" xr:uid="{00000000-0005-0000-0000-000003000000}"/>
    <cellStyle name="E Normal" xfId="7" xr:uid="{00000000-0005-0000-0000-000004000000}"/>
    <cellStyle name="Eingabe" xfId="9" builtinId="20"/>
    <cellStyle name="Erklärender Text" xfId="12" builtinId="53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8" builtinId="18"/>
  </cellStyles>
  <dxfs count="0"/>
  <tableStyles count="0" defaultTableStyle="TableStyleMedium2" defaultPivotStyle="PivotStyleLight16"/>
  <colors>
    <mruColors>
      <color rgb="FF87888A"/>
      <color rgb="FFBFBFBF"/>
      <color rgb="FF2A3F82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007004532344463E-2"/>
          <c:y val="3.7895935459260649E-2"/>
          <c:w val="0.94450762257931598"/>
          <c:h val="0.9357771818652820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B0F0"/>
              </a:solidFill>
            </c:spPr>
          </c:marker>
          <c:dPt>
            <c:idx val="1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7C08-4620-8210-F395CDA9A950}"/>
              </c:ext>
            </c:extLst>
          </c:dPt>
          <c:dPt>
            <c:idx val="5"/>
            <c:marker>
              <c:spPr>
                <a:solidFill>
                  <a:srgbClr val="92D05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7C08-4620-8210-F395CDA9A950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08-4620-8210-F395CDA9A950}"/>
              </c:ext>
            </c:extLst>
          </c:dPt>
          <c:dPt>
            <c:idx val="8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08-4620-8210-F395CDA9A950}"/>
              </c:ext>
            </c:extLst>
          </c:dPt>
          <c:dPt>
            <c:idx val="10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08-4620-8210-F395CDA9A950}"/>
              </c:ext>
            </c:extLst>
          </c:dPt>
          <c:dPt>
            <c:idx val="11"/>
            <c:marker>
              <c:spPr>
                <a:solidFill>
                  <a:srgbClr val="92D05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08-4620-8210-F395CDA9A950}"/>
              </c:ext>
            </c:extLst>
          </c:dPt>
          <c:dPt>
            <c:idx val="12"/>
            <c:marker>
              <c:spPr>
                <a:solidFill>
                  <a:schemeClr val="tx1">
                    <a:lumMod val="50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08-4620-8210-F395CDA9A950}"/>
              </c:ext>
            </c:extLst>
          </c:dPt>
          <c:dPt>
            <c:idx val="13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08-4620-8210-F395CDA9A950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08-4620-8210-F395CDA9A950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08-4620-8210-F395CDA9A950}"/>
              </c:ext>
            </c:extLst>
          </c:dPt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C08-4620-8210-F395CDA9A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5470368"/>
        <c:axId val="302204824"/>
      </c:scatterChart>
      <c:valAx>
        <c:axId val="425470368"/>
        <c:scaling>
          <c:orientation val="minMax"/>
          <c:max val="35"/>
          <c:min val="-5"/>
        </c:scaling>
        <c:delete val="1"/>
        <c:axPos val="b"/>
        <c:numFmt formatCode="General" sourceLinked="1"/>
        <c:majorTickMark val="out"/>
        <c:minorTickMark val="none"/>
        <c:tickLblPos val="nextTo"/>
        <c:crossAx val="302204824"/>
        <c:crosses val="autoZero"/>
        <c:crossBetween val="midCat"/>
      </c:valAx>
      <c:valAx>
        <c:axId val="302204824"/>
        <c:scaling>
          <c:orientation val="minMax"/>
          <c:max val="35"/>
          <c:min val="-5"/>
        </c:scaling>
        <c:delete val="1"/>
        <c:axPos val="l"/>
        <c:numFmt formatCode="General" sourceLinked="1"/>
        <c:majorTickMark val="out"/>
        <c:minorTickMark val="none"/>
        <c:tickLblPos val="nextTo"/>
        <c:crossAx val="42547036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7</xdr:col>
      <xdr:colOff>10584</xdr:colOff>
      <xdr:row>39</xdr:row>
      <xdr:rowOff>130500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E0F3F11D-C897-4D4A-AD39-5CA02431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5344583" cy="7560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5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215153</xdr:colOff>
      <xdr:row>27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603438</xdr:colOff>
      <xdr:row>32</xdr:row>
      <xdr:rowOff>10647</xdr:rowOff>
    </xdr:from>
    <xdr:to>
      <xdr:col>20</xdr:col>
      <xdr:colOff>54553</xdr:colOff>
      <xdr:row>53</xdr:row>
      <xdr:rowOff>33771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7309038" y="6106647"/>
          <a:ext cx="4937515" cy="4023624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603439</xdr:colOff>
      <xdr:row>30</xdr:row>
      <xdr:rowOff>122704</xdr:rowOff>
    </xdr:from>
    <xdr:to>
      <xdr:col>13</xdr:col>
      <xdr:colOff>312086</xdr:colOff>
      <xdr:row>31</xdr:row>
      <xdr:rowOff>189939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7309039" y="5837704"/>
          <a:ext cx="927847" cy="25773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400" b="1"/>
            <a:t>CAPTION</a:t>
          </a:r>
        </a:p>
        <a:p>
          <a:endParaRPr lang="en-GB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0.4473</cdr:x>
      <cdr:y>0</cdr:y>
    </cdr:from>
    <cdr:to>
      <cdr:x>0.86668</cdr:x>
      <cdr:y>0.33414</cdr:y>
    </cdr:to>
    <cdr:sp macro="" textlink="">
      <cdr:nvSpPr>
        <cdr:cNvPr id="180" name="Freeform 179"/>
        <cdr:cNvSpPr/>
      </cdr:nvSpPr>
      <cdr:spPr>
        <a:xfrm xmlns:a="http://schemas.openxmlformats.org/drawingml/2006/main">
          <a:off x="3446809" y="-41346"/>
          <a:ext cx="3231603" cy="1467238"/>
        </a:xfrm>
        <a:custGeom xmlns:a="http://schemas.openxmlformats.org/drawingml/2006/main">
          <a:avLst/>
          <a:gdLst>
            <a:gd name="connsiteX0" fmla="*/ 201267 w 3231603"/>
            <a:gd name="connsiteY0" fmla="*/ 88971 h 1467238"/>
            <a:gd name="connsiteX1" fmla="*/ 325092 w 3231603"/>
            <a:gd name="connsiteY1" fmla="*/ 384246 h 1467238"/>
            <a:gd name="connsiteX2" fmla="*/ 991842 w 3231603"/>
            <a:gd name="connsiteY2" fmla="*/ 1222446 h 1467238"/>
            <a:gd name="connsiteX3" fmla="*/ 1468092 w 3231603"/>
            <a:gd name="connsiteY3" fmla="*/ 1117671 h 1467238"/>
            <a:gd name="connsiteX4" fmla="*/ 1658592 w 3231603"/>
            <a:gd name="connsiteY4" fmla="*/ 1355796 h 1467238"/>
            <a:gd name="connsiteX5" fmla="*/ 1906242 w 3231603"/>
            <a:gd name="connsiteY5" fmla="*/ 1451046 h 1467238"/>
            <a:gd name="connsiteX6" fmla="*/ 2744442 w 3231603"/>
            <a:gd name="connsiteY6" fmla="*/ 1031946 h 1467238"/>
            <a:gd name="connsiteX7" fmla="*/ 3077817 w 3231603"/>
            <a:gd name="connsiteY7" fmla="*/ 79446 h 1467238"/>
            <a:gd name="connsiteX8" fmla="*/ 201267 w 3231603"/>
            <a:gd name="connsiteY8" fmla="*/ 88971 h 146723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</a:cxnLst>
          <a:rect l="l" t="t" r="r" b="b"/>
          <a:pathLst>
            <a:path w="3231603" h="1467238">
              <a:moveTo>
                <a:pt x="201267" y="88971"/>
              </a:moveTo>
              <a:cubicBezTo>
                <a:pt x="-257521" y="139771"/>
                <a:pt x="193330" y="195334"/>
                <a:pt x="325092" y="384246"/>
              </a:cubicBezTo>
              <a:cubicBezTo>
                <a:pt x="456854" y="573158"/>
                <a:pt x="801342" y="1100209"/>
                <a:pt x="991842" y="1222446"/>
              </a:cubicBezTo>
              <a:cubicBezTo>
                <a:pt x="1182342" y="1344683"/>
                <a:pt x="1356967" y="1095446"/>
                <a:pt x="1468092" y="1117671"/>
              </a:cubicBezTo>
              <a:cubicBezTo>
                <a:pt x="1579217" y="1139896"/>
                <a:pt x="1585567" y="1300234"/>
                <a:pt x="1658592" y="1355796"/>
              </a:cubicBezTo>
              <a:cubicBezTo>
                <a:pt x="1731617" y="1411358"/>
                <a:pt x="1725267" y="1505021"/>
                <a:pt x="1906242" y="1451046"/>
              </a:cubicBezTo>
              <a:cubicBezTo>
                <a:pt x="2087217" y="1397071"/>
                <a:pt x="2549179" y="1260546"/>
                <a:pt x="2744442" y="1031946"/>
              </a:cubicBezTo>
              <a:cubicBezTo>
                <a:pt x="2939705" y="803346"/>
                <a:pt x="3500092" y="236609"/>
                <a:pt x="3077817" y="79446"/>
              </a:cubicBezTo>
              <a:cubicBezTo>
                <a:pt x="2655542" y="-77717"/>
                <a:pt x="660055" y="38171"/>
                <a:pt x="201267" y="88971"/>
              </a:cubicBezTo>
              <a:close/>
            </a:path>
          </a:pathLst>
        </a:custGeom>
        <a:solidFill xmlns:a="http://schemas.openxmlformats.org/drawingml/2006/main">
          <a:schemeClr val="tx1">
            <a:lumMod val="20000"/>
            <a:lumOff val="80000"/>
            <a:alpha val="5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0.00247</cdr:x>
      <cdr:y>0.34684</cdr:y>
    </cdr:from>
    <cdr:to>
      <cdr:x>0.20525</cdr:x>
      <cdr:y>0.74431</cdr:y>
    </cdr:to>
    <cdr:sp macro="" textlink="">
      <cdr:nvSpPr>
        <cdr:cNvPr id="177" name="Freeform 176"/>
        <cdr:cNvSpPr/>
      </cdr:nvSpPr>
      <cdr:spPr>
        <a:xfrm xmlns:a="http://schemas.openxmlformats.org/drawingml/2006/main">
          <a:off x="19050" y="1522987"/>
          <a:ext cx="1562553" cy="1745300"/>
        </a:xfrm>
        <a:custGeom xmlns:a="http://schemas.openxmlformats.org/drawingml/2006/main">
          <a:avLst/>
          <a:gdLst>
            <a:gd name="connsiteX0" fmla="*/ 41617 w 1593396"/>
            <a:gd name="connsiteY0" fmla="*/ 191513 h 1745300"/>
            <a:gd name="connsiteX1" fmla="*/ 832192 w 1593396"/>
            <a:gd name="connsiteY1" fmla="*/ 29588 h 1745300"/>
            <a:gd name="connsiteX2" fmla="*/ 1498942 w 1593396"/>
            <a:gd name="connsiteY2" fmla="*/ 296288 h 1745300"/>
            <a:gd name="connsiteX3" fmla="*/ 1508467 w 1593396"/>
            <a:gd name="connsiteY3" fmla="*/ 1029713 h 1745300"/>
            <a:gd name="connsiteX4" fmla="*/ 746467 w 1593396"/>
            <a:gd name="connsiteY4" fmla="*/ 1496438 h 1745300"/>
            <a:gd name="connsiteX5" fmla="*/ 174967 w 1593396"/>
            <a:gd name="connsiteY5" fmla="*/ 1667888 h 1745300"/>
            <a:gd name="connsiteX6" fmla="*/ 41617 w 1593396"/>
            <a:gd name="connsiteY6" fmla="*/ 191513 h 1745300"/>
            <a:gd name="connsiteX0" fmla="*/ 41617 w 1561385"/>
            <a:gd name="connsiteY0" fmla="*/ 191513 h 1745300"/>
            <a:gd name="connsiteX1" fmla="*/ 832192 w 1561385"/>
            <a:gd name="connsiteY1" fmla="*/ 29588 h 1745300"/>
            <a:gd name="connsiteX2" fmla="*/ 1422742 w 1561385"/>
            <a:gd name="connsiteY2" fmla="*/ 296288 h 1745300"/>
            <a:gd name="connsiteX3" fmla="*/ 1508467 w 1561385"/>
            <a:gd name="connsiteY3" fmla="*/ 1029713 h 1745300"/>
            <a:gd name="connsiteX4" fmla="*/ 746467 w 1561385"/>
            <a:gd name="connsiteY4" fmla="*/ 1496438 h 1745300"/>
            <a:gd name="connsiteX5" fmla="*/ 174967 w 1561385"/>
            <a:gd name="connsiteY5" fmla="*/ 1667888 h 1745300"/>
            <a:gd name="connsiteX6" fmla="*/ 41617 w 1561385"/>
            <a:gd name="connsiteY6" fmla="*/ 191513 h 1745300"/>
            <a:gd name="connsiteX0" fmla="*/ 41617 w 1555559"/>
            <a:gd name="connsiteY0" fmla="*/ 191513 h 1745300"/>
            <a:gd name="connsiteX1" fmla="*/ 832192 w 1555559"/>
            <a:gd name="connsiteY1" fmla="*/ 29588 h 1745300"/>
            <a:gd name="connsiteX2" fmla="*/ 1422742 w 1555559"/>
            <a:gd name="connsiteY2" fmla="*/ 296288 h 1745300"/>
            <a:gd name="connsiteX3" fmla="*/ 1508467 w 1555559"/>
            <a:gd name="connsiteY3" fmla="*/ 1029713 h 1745300"/>
            <a:gd name="connsiteX4" fmla="*/ 746467 w 1555559"/>
            <a:gd name="connsiteY4" fmla="*/ 1496438 h 1745300"/>
            <a:gd name="connsiteX5" fmla="*/ 174967 w 1555559"/>
            <a:gd name="connsiteY5" fmla="*/ 1667888 h 1745300"/>
            <a:gd name="connsiteX6" fmla="*/ 41617 w 1555559"/>
            <a:gd name="connsiteY6" fmla="*/ 191513 h 1745300"/>
            <a:gd name="connsiteX0" fmla="*/ 41617 w 1539911"/>
            <a:gd name="connsiteY0" fmla="*/ 191513 h 1745300"/>
            <a:gd name="connsiteX1" fmla="*/ 832192 w 1539911"/>
            <a:gd name="connsiteY1" fmla="*/ 29588 h 1745300"/>
            <a:gd name="connsiteX2" fmla="*/ 1356067 w 1539911"/>
            <a:gd name="connsiteY2" fmla="*/ 296288 h 1745300"/>
            <a:gd name="connsiteX3" fmla="*/ 1508467 w 1539911"/>
            <a:gd name="connsiteY3" fmla="*/ 1029713 h 1745300"/>
            <a:gd name="connsiteX4" fmla="*/ 746467 w 1539911"/>
            <a:gd name="connsiteY4" fmla="*/ 1496438 h 1745300"/>
            <a:gd name="connsiteX5" fmla="*/ 174967 w 1539911"/>
            <a:gd name="connsiteY5" fmla="*/ 1667888 h 1745300"/>
            <a:gd name="connsiteX6" fmla="*/ 41617 w 1539911"/>
            <a:gd name="connsiteY6" fmla="*/ 191513 h 1745300"/>
            <a:gd name="connsiteX0" fmla="*/ 41617 w 1562553"/>
            <a:gd name="connsiteY0" fmla="*/ 191513 h 1745300"/>
            <a:gd name="connsiteX1" fmla="*/ 832192 w 1562553"/>
            <a:gd name="connsiteY1" fmla="*/ 29588 h 1745300"/>
            <a:gd name="connsiteX2" fmla="*/ 1356067 w 1562553"/>
            <a:gd name="connsiteY2" fmla="*/ 296288 h 1745300"/>
            <a:gd name="connsiteX3" fmla="*/ 1508467 w 1562553"/>
            <a:gd name="connsiteY3" fmla="*/ 1029713 h 1745300"/>
            <a:gd name="connsiteX4" fmla="*/ 746467 w 1562553"/>
            <a:gd name="connsiteY4" fmla="*/ 1496438 h 1745300"/>
            <a:gd name="connsiteX5" fmla="*/ 174967 w 1562553"/>
            <a:gd name="connsiteY5" fmla="*/ 1667888 h 1745300"/>
            <a:gd name="connsiteX6" fmla="*/ 41617 w 1562553"/>
            <a:gd name="connsiteY6" fmla="*/ 191513 h 1745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562553" h="1745300">
              <a:moveTo>
                <a:pt x="41617" y="191513"/>
              </a:moveTo>
              <a:cubicBezTo>
                <a:pt x="151154" y="-81537"/>
                <a:pt x="613117" y="12126"/>
                <a:pt x="832192" y="29588"/>
              </a:cubicBezTo>
              <a:cubicBezTo>
                <a:pt x="1051267" y="47050"/>
                <a:pt x="1138579" y="15300"/>
                <a:pt x="1356067" y="296288"/>
              </a:cubicBezTo>
              <a:cubicBezTo>
                <a:pt x="1573555" y="577276"/>
                <a:pt x="1610067" y="829688"/>
                <a:pt x="1508467" y="1029713"/>
              </a:cubicBezTo>
              <a:cubicBezTo>
                <a:pt x="1406867" y="1229738"/>
                <a:pt x="968717" y="1390075"/>
                <a:pt x="746467" y="1496438"/>
              </a:cubicBezTo>
              <a:cubicBezTo>
                <a:pt x="524217" y="1602801"/>
                <a:pt x="289267" y="1879026"/>
                <a:pt x="174967" y="1667888"/>
              </a:cubicBezTo>
              <a:cubicBezTo>
                <a:pt x="60667" y="1456750"/>
                <a:pt x="-67920" y="464563"/>
                <a:pt x="41617" y="191513"/>
              </a:cubicBezTo>
              <a:close/>
            </a:path>
          </a:pathLst>
        </a:custGeom>
        <a:solidFill xmlns:a="http://schemas.openxmlformats.org/drawingml/2006/main">
          <a:schemeClr val="bg2">
            <a:lumMod val="40000"/>
            <a:lumOff val="60000"/>
            <a:alpha val="5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0.55747</cdr:x>
      <cdr:y>0.5987</cdr:y>
    </cdr:from>
    <cdr:to>
      <cdr:x>0.59579</cdr:x>
      <cdr:y>0.65293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95737" y="2628887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A</a:t>
          </a:r>
        </a:p>
      </cdr:txBody>
    </cdr:sp>
  </cdr:relSizeAnchor>
  <cdr:relSizeAnchor xmlns:cdr="http://schemas.openxmlformats.org/drawingml/2006/chartDrawing">
    <cdr:from>
      <cdr:x>0.24763</cdr:x>
      <cdr:y>0.76645</cdr:y>
    </cdr:from>
    <cdr:to>
      <cdr:x>0.28595</cdr:x>
      <cdr:y>0.82068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08134" y="3365480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R</a:t>
          </a:r>
        </a:p>
      </cdr:txBody>
    </cdr:sp>
  </cdr:relSizeAnchor>
  <cdr:relSizeAnchor xmlns:cdr="http://schemas.openxmlformats.org/drawingml/2006/chartDrawing">
    <cdr:from>
      <cdr:x>0.39349</cdr:x>
      <cdr:y>0.83586</cdr:y>
    </cdr:from>
    <cdr:to>
      <cdr:x>0.43181</cdr:x>
      <cdr:y>0.89009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032126" y="3670303"/>
          <a:ext cx="295283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Q</a:t>
          </a:r>
        </a:p>
      </cdr:txBody>
    </cdr:sp>
  </cdr:relSizeAnchor>
  <cdr:relSizeAnchor xmlns:cdr="http://schemas.openxmlformats.org/drawingml/2006/chartDrawing">
    <cdr:from>
      <cdr:x>0.3391</cdr:x>
      <cdr:y>0.27838</cdr:y>
    </cdr:from>
    <cdr:to>
      <cdr:x>0.37742</cdr:x>
      <cdr:y>0.33261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613025" y="122237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</a:t>
          </a:r>
        </a:p>
      </cdr:txBody>
    </cdr:sp>
  </cdr:relSizeAnchor>
  <cdr:relSizeAnchor xmlns:cdr="http://schemas.openxmlformats.org/drawingml/2006/chartDrawing">
    <cdr:from>
      <cdr:x>0.6506</cdr:x>
      <cdr:y>0.49747</cdr:y>
    </cdr:from>
    <cdr:to>
      <cdr:x>0.68892</cdr:x>
      <cdr:y>0.5517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013328" y="2184403"/>
          <a:ext cx="295283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O</a:t>
          </a:r>
        </a:p>
      </cdr:txBody>
    </cdr:sp>
  </cdr:relSizeAnchor>
  <cdr:relSizeAnchor xmlns:cdr="http://schemas.openxmlformats.org/drawingml/2006/chartDrawing">
    <cdr:from>
      <cdr:x>0.48372</cdr:x>
      <cdr:y>0.49747</cdr:y>
    </cdr:from>
    <cdr:to>
      <cdr:x>0.52204</cdr:x>
      <cdr:y>0.5517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727414" y="2184395"/>
          <a:ext cx="29528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N</a:t>
          </a:r>
        </a:p>
      </cdr:txBody>
    </cdr:sp>
  </cdr:relSizeAnchor>
  <cdr:relSizeAnchor xmlns:cdr="http://schemas.openxmlformats.org/drawingml/2006/chartDrawing">
    <cdr:from>
      <cdr:x>0.71858</cdr:x>
      <cdr:y>0.36081</cdr:y>
    </cdr:from>
    <cdr:to>
      <cdr:x>0.7569</cdr:x>
      <cdr:y>0.41504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537200" y="158432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M</a:t>
          </a:r>
        </a:p>
      </cdr:txBody>
    </cdr:sp>
  </cdr:relSizeAnchor>
  <cdr:relSizeAnchor xmlns:cdr="http://schemas.openxmlformats.org/drawingml/2006/chartDrawing">
    <cdr:from>
      <cdr:x>0.64813</cdr:x>
      <cdr:y>0.21547</cdr:y>
    </cdr:from>
    <cdr:to>
      <cdr:x>0.68644</cdr:x>
      <cdr:y>0.2697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4994275" y="94615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L</a:t>
          </a:r>
        </a:p>
      </cdr:txBody>
    </cdr:sp>
  </cdr:relSizeAnchor>
  <cdr:relSizeAnchor xmlns:cdr="http://schemas.openxmlformats.org/drawingml/2006/chartDrawing">
    <cdr:from>
      <cdr:x>0.73836</cdr:x>
      <cdr:y>0.75344</cdr:y>
    </cdr:from>
    <cdr:to>
      <cdr:x>0.77667</cdr:x>
      <cdr:y>0.80767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5689635" y="3308358"/>
          <a:ext cx="295207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K</a:t>
          </a:r>
        </a:p>
      </cdr:txBody>
    </cdr:sp>
  </cdr:relSizeAnchor>
  <cdr:relSizeAnchor xmlns:cdr="http://schemas.openxmlformats.org/drawingml/2006/chartDrawing">
    <cdr:from>
      <cdr:x>0.75072</cdr:x>
      <cdr:y>0.68836</cdr:y>
    </cdr:from>
    <cdr:to>
      <cdr:x>0.78904</cdr:x>
      <cdr:y>0.74259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5784850" y="30226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J</a:t>
          </a:r>
        </a:p>
      </cdr:txBody>
    </cdr:sp>
  </cdr:relSizeAnchor>
  <cdr:relSizeAnchor xmlns:cdr="http://schemas.openxmlformats.org/drawingml/2006/chartDrawing">
    <cdr:from>
      <cdr:x>0.15616</cdr:x>
      <cdr:y>0.2632</cdr:y>
    </cdr:from>
    <cdr:to>
      <cdr:x>0.19448</cdr:x>
      <cdr:y>0.31743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1203325" y="11557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I</a:t>
          </a:r>
        </a:p>
      </cdr:txBody>
    </cdr:sp>
  </cdr:relSizeAnchor>
  <cdr:relSizeAnchor xmlns:cdr="http://schemas.openxmlformats.org/drawingml/2006/chartDrawing">
    <cdr:from>
      <cdr:x>0.32674</cdr:x>
      <cdr:y>0.36949</cdr:y>
    </cdr:from>
    <cdr:to>
      <cdr:x>0.36506</cdr:x>
      <cdr:y>0.42372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2517790" y="1622424"/>
          <a:ext cx="29528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H</a:t>
          </a:r>
        </a:p>
      </cdr:txBody>
    </cdr:sp>
  </cdr:relSizeAnchor>
  <cdr:relSizeAnchor xmlns:cdr="http://schemas.openxmlformats.org/drawingml/2006/chartDrawing">
    <cdr:from>
      <cdr:x>0.59621</cdr:x>
      <cdr:y>0.37599</cdr:y>
    </cdr:from>
    <cdr:to>
      <cdr:x>0.63453</cdr:x>
      <cdr:y>0.43022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4594225" y="16510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G</a:t>
          </a:r>
        </a:p>
      </cdr:txBody>
    </cdr:sp>
  </cdr:relSizeAnchor>
  <cdr:relSizeAnchor xmlns:cdr="http://schemas.openxmlformats.org/drawingml/2006/chartDrawing">
    <cdr:from>
      <cdr:x>0.19694</cdr:x>
      <cdr:y>0.43674</cdr:y>
    </cdr:from>
    <cdr:to>
      <cdr:x>0.23526</cdr:x>
      <cdr:y>0.49097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1517586" y="1917731"/>
          <a:ext cx="295283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F</a:t>
          </a:r>
        </a:p>
      </cdr:txBody>
    </cdr:sp>
  </cdr:relSizeAnchor>
  <cdr:relSizeAnchor xmlns:cdr="http://schemas.openxmlformats.org/drawingml/2006/chartDrawing">
    <cdr:from>
      <cdr:x>0.27235</cdr:x>
      <cdr:y>0.45625</cdr:y>
    </cdr:from>
    <cdr:to>
      <cdr:x>0.31067</cdr:x>
      <cdr:y>0.51048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2098675" y="200342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E</a:t>
          </a:r>
        </a:p>
      </cdr:txBody>
    </cdr:sp>
  </cdr:relSizeAnchor>
  <cdr:relSizeAnchor xmlns:cdr="http://schemas.openxmlformats.org/drawingml/2006/chartDrawing">
    <cdr:from>
      <cdr:x>0.41698</cdr:x>
      <cdr:y>0.34129</cdr:y>
    </cdr:from>
    <cdr:to>
      <cdr:x>0.45529</cdr:x>
      <cdr:y>0.39552</cdr:y>
    </cdr:to>
    <cdr:sp macro="" textlink="">
      <cdr:nvSpPr>
        <cdr:cNvPr id="18" name="TextBox 1"/>
        <cdr:cNvSpPr txBox="1"/>
      </cdr:nvSpPr>
      <cdr:spPr>
        <a:xfrm xmlns:a="http://schemas.openxmlformats.org/drawingml/2006/main">
          <a:off x="3213100" y="1498600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D</a:t>
          </a:r>
        </a:p>
      </cdr:txBody>
    </cdr:sp>
  </cdr:relSizeAnchor>
  <cdr:relSizeAnchor xmlns:cdr="http://schemas.openxmlformats.org/drawingml/2006/chartDrawing">
    <cdr:from>
      <cdr:x>0.34528</cdr:x>
      <cdr:y>0.60376</cdr:y>
    </cdr:from>
    <cdr:to>
      <cdr:x>0.3836</cdr:x>
      <cdr:y>0.65799</cdr:y>
    </cdr:to>
    <cdr:sp macro="" textlink="">
      <cdr:nvSpPr>
        <cdr:cNvPr id="19" name="TextBox 1"/>
        <cdr:cNvSpPr txBox="1"/>
      </cdr:nvSpPr>
      <cdr:spPr>
        <a:xfrm xmlns:a="http://schemas.openxmlformats.org/drawingml/2006/main">
          <a:off x="2660650" y="2651125"/>
          <a:ext cx="2952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C</a:t>
          </a:r>
        </a:p>
      </cdr:txBody>
    </cdr:sp>
  </cdr:relSizeAnchor>
  <cdr:relSizeAnchor xmlns:cdr="http://schemas.openxmlformats.org/drawingml/2006/chartDrawing">
    <cdr:from>
      <cdr:x>0.45159</cdr:x>
      <cdr:y>0.19378</cdr:y>
    </cdr:from>
    <cdr:to>
      <cdr:x>0.48991</cdr:x>
      <cdr:y>0.24801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479792" y="850893"/>
          <a:ext cx="29528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B</a:t>
          </a:r>
        </a:p>
      </cdr:txBody>
    </cdr:sp>
  </cdr:relSizeAnchor>
  <cdr:relSizeAnchor xmlns:cdr="http://schemas.openxmlformats.org/drawingml/2006/chartDrawing">
    <cdr:from>
      <cdr:x>0.12732</cdr:x>
      <cdr:y>0.44469</cdr:y>
    </cdr:from>
    <cdr:to>
      <cdr:x>0.18912</cdr:x>
      <cdr:y>0.52288</cdr:y>
    </cdr:to>
    <cdr:pic>
      <cdr:nvPicPr>
        <cdr:cNvPr id="23" name="chart">
          <a:extLst xmlns:a="http://schemas.openxmlformats.org/drawingml/2006/main">
            <a:ext uri="{FF2B5EF4-FFF2-40B4-BE49-F238E27FC236}">
              <a16:creationId xmlns:a16="http://schemas.microsoft.com/office/drawing/2014/main" id="{4D6B80D4-777D-4166-B3E6-5581C2046A7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981076" y="1952625"/>
          <a:ext cx="476250" cy="34337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0.61599</cdr:x>
      <cdr:y>0.15907</cdr:y>
    </cdr:from>
    <cdr:to>
      <cdr:x>0.67779</cdr:x>
      <cdr:y>0.23727</cdr:y>
    </cdr:to>
    <cdr:pic>
      <cdr:nvPicPr>
        <cdr:cNvPr id="25" name="chart">
          <a:extLst xmlns:a="http://schemas.openxmlformats.org/drawingml/2006/main">
            <a:ext uri="{FF2B5EF4-FFF2-40B4-BE49-F238E27FC236}">
              <a16:creationId xmlns:a16="http://schemas.microsoft.com/office/drawing/2014/main" id="{684108C6-B8FC-47A3-9386-FE56BB91062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4746625" y="698500"/>
          <a:ext cx="476250" cy="34337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0.58714</cdr:x>
      <cdr:y>0.62908</cdr:y>
    </cdr:from>
    <cdr:to>
      <cdr:x>0.61929</cdr:x>
      <cdr:y>0.68115</cdr:y>
    </cdr:to>
    <cdr:pic>
      <cdr:nvPicPr>
        <cdr:cNvPr id="26" name="chart">
          <a:extLst xmlns:a="http://schemas.openxmlformats.org/drawingml/2006/main">
            <a:ext uri="{FF2B5EF4-FFF2-40B4-BE49-F238E27FC236}">
              <a16:creationId xmlns:a16="http://schemas.microsoft.com/office/drawing/2014/main" id="{58D1E0DA-CA12-4C13-871A-688BA66B054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duotone>
            <a:prstClr val="black"/>
            <a:schemeClr val="tx2">
              <a:tint val="45000"/>
              <a:satMod val="400000"/>
            </a:schemeClr>
          </a:duotone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524330" y="2762285"/>
          <a:ext cx="247739" cy="22864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0.34776</cdr:x>
      <cdr:y>0.55604</cdr:y>
    </cdr:from>
    <cdr:to>
      <cdr:x>0.3799</cdr:x>
      <cdr:y>0.60811</cdr:y>
    </cdr:to>
    <cdr:pic>
      <cdr:nvPicPr>
        <cdr:cNvPr id="28" name="chart">
          <a:extLst xmlns:a="http://schemas.openxmlformats.org/drawingml/2006/main">
            <a:ext uri="{FF2B5EF4-FFF2-40B4-BE49-F238E27FC236}">
              <a16:creationId xmlns:a16="http://schemas.microsoft.com/office/drawing/2014/main" id="{7A6C0CC7-6696-476E-A67B-DE992F67C2C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>
          <a:duotone>
            <a:prstClr val="black"/>
            <a:schemeClr val="tx2">
              <a:tint val="45000"/>
              <a:satMod val="400000"/>
            </a:schemeClr>
          </a:duotone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679710" y="2441589"/>
          <a:ext cx="247662" cy="22864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0.75278</cdr:x>
      <cdr:y>0.80477</cdr:y>
    </cdr:from>
    <cdr:to>
      <cdr:x>0.81087</cdr:x>
      <cdr:y>0.80694</cdr:y>
    </cdr:to>
    <cdr:cxnSp macro="">
      <cdr:nvCxnSpPr>
        <cdr:cNvPr id="40" name="Straight Arrow Connector 39">
          <a:extLst xmlns:a="http://schemas.openxmlformats.org/drawingml/2006/main">
            <a:ext uri="{FF2B5EF4-FFF2-40B4-BE49-F238E27FC236}">
              <a16:creationId xmlns:a16="http://schemas.microsoft.com/office/drawing/2014/main" id="{02E72751-99D3-470C-8CD2-85B424EF232B}"/>
            </a:ext>
          </a:extLst>
        </cdr:cNvPr>
        <cdr:cNvCxnSpPr/>
      </cdr:nvCxnSpPr>
      <cdr:spPr>
        <a:xfrm xmlns:a="http://schemas.openxmlformats.org/drawingml/2006/main" flipH="1">
          <a:off x="5800753" y="3533757"/>
          <a:ext cx="447626" cy="952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0.70622</cdr:x>
      <cdr:y>0.41504</cdr:y>
    </cdr:from>
    <cdr:to>
      <cdr:x>0.76432</cdr:x>
      <cdr:y>0.41721</cdr:y>
    </cdr:to>
    <cdr:cxnSp macro="">
      <cdr:nvCxnSpPr>
        <cdr:cNvPr id="44" name="Straight Arrow Connector 43">
          <a:extLst xmlns:a="http://schemas.openxmlformats.org/drawingml/2006/main">
            <a:ext uri="{FF2B5EF4-FFF2-40B4-BE49-F238E27FC236}">
              <a16:creationId xmlns:a16="http://schemas.microsoft.com/office/drawing/2014/main" id="{24723C10-82FD-4571-A5D3-A3E98D4B7A30}"/>
            </a:ext>
          </a:extLst>
        </cdr:cNvPr>
        <cdr:cNvCxnSpPr/>
      </cdr:nvCxnSpPr>
      <cdr:spPr>
        <a:xfrm xmlns:a="http://schemas.openxmlformats.org/drawingml/2006/main" flipH="1">
          <a:off x="5441950" y="1822450"/>
          <a:ext cx="447674" cy="9527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0.14504</cdr:x>
      <cdr:y>0.31092</cdr:y>
    </cdr:from>
    <cdr:to>
      <cdr:x>0.20313</cdr:x>
      <cdr:y>0.31309</cdr:y>
    </cdr:to>
    <cdr:cxnSp macro="">
      <cdr:nvCxnSpPr>
        <cdr:cNvPr id="45" name="Straight Arrow Connector 44">
          <a:extLst xmlns:a="http://schemas.openxmlformats.org/drawingml/2006/main">
            <a:ext uri="{FF2B5EF4-FFF2-40B4-BE49-F238E27FC236}">
              <a16:creationId xmlns:a16="http://schemas.microsoft.com/office/drawing/2014/main" id="{AF42369B-3A79-40A1-95DB-A518836F2057}"/>
            </a:ext>
          </a:extLst>
        </cdr:cNvPr>
        <cdr:cNvCxnSpPr/>
      </cdr:nvCxnSpPr>
      <cdr:spPr>
        <a:xfrm xmlns:a="http://schemas.openxmlformats.org/drawingml/2006/main" flipH="1">
          <a:off x="1117600" y="1365250"/>
          <a:ext cx="447674" cy="9527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0.45529</cdr:x>
      <cdr:y>0.25669</cdr:y>
    </cdr:from>
    <cdr:to>
      <cdr:x>0.51339</cdr:x>
      <cdr:y>0.25886</cdr:y>
    </cdr:to>
    <cdr:cxnSp macro="">
      <cdr:nvCxnSpPr>
        <cdr:cNvPr id="46" name="Straight Arrow Connector 45">
          <a:extLst xmlns:a="http://schemas.openxmlformats.org/drawingml/2006/main">
            <a:ext uri="{FF2B5EF4-FFF2-40B4-BE49-F238E27FC236}">
              <a16:creationId xmlns:a16="http://schemas.microsoft.com/office/drawing/2014/main" id="{19E6FD9F-7CA0-4E94-835F-144FFE622E4D}"/>
            </a:ext>
          </a:extLst>
        </cdr:cNvPr>
        <cdr:cNvCxnSpPr/>
      </cdr:nvCxnSpPr>
      <cdr:spPr>
        <a:xfrm xmlns:a="http://schemas.openxmlformats.org/drawingml/2006/main" flipH="1">
          <a:off x="3508358" y="1127115"/>
          <a:ext cx="447702" cy="952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chemeClr val="tx1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0.45859</cdr:x>
      <cdr:y>0.31887</cdr:y>
    </cdr:from>
    <cdr:to>
      <cdr:x>0.49852</cdr:x>
      <cdr:y>0.37153</cdr:y>
    </cdr:to>
    <cdr:pic>
      <cdr:nvPicPr>
        <cdr:cNvPr id="47" name="chart">
          <a:extLst xmlns:a="http://schemas.openxmlformats.org/drawingml/2006/main">
            <a:ext uri="{FF2B5EF4-FFF2-40B4-BE49-F238E27FC236}">
              <a16:creationId xmlns:a16="http://schemas.microsoft.com/office/drawing/2014/main" id="{7DFFB8C8-53A3-4AD1-81EC-1224D774E5C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3533762" y="1400159"/>
          <a:ext cx="307690" cy="23123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0.56655</cdr:x>
      <cdr:y>0.34996</cdr:y>
    </cdr:from>
    <cdr:to>
      <cdr:x>0.60647</cdr:x>
      <cdr:y>0.40261</cdr:y>
    </cdr:to>
    <cdr:pic>
      <cdr:nvPicPr>
        <cdr:cNvPr id="48" name="chart">
          <a:extLst xmlns:a="http://schemas.openxmlformats.org/drawingml/2006/main">
            <a:ext uri="{FF2B5EF4-FFF2-40B4-BE49-F238E27FC236}">
              <a16:creationId xmlns:a16="http://schemas.microsoft.com/office/drawing/2014/main" id="{5BADE3BA-6A46-43E3-839A-E0AC2BD84CD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4365662" y="1536690"/>
          <a:ext cx="307612" cy="23118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0.26617</cdr:x>
      <cdr:y>0.50181</cdr:y>
    </cdr:from>
    <cdr:to>
      <cdr:x>0.3061</cdr:x>
      <cdr:y>0.55446</cdr:y>
    </cdr:to>
    <cdr:pic>
      <cdr:nvPicPr>
        <cdr:cNvPr id="49" name="chart">
          <a:extLst xmlns:a="http://schemas.openxmlformats.org/drawingml/2006/main">
            <a:ext uri="{FF2B5EF4-FFF2-40B4-BE49-F238E27FC236}">
              <a16:creationId xmlns:a16="http://schemas.microsoft.com/office/drawing/2014/main" id="{3E1C0748-70D5-4E94-9620-FEC66270484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/>
        <a:stretch xmlns:a="http://schemas.openxmlformats.org/drawingml/2006/main">
          <a:fillRect/>
        </a:stretch>
      </cdr:blipFill>
      <cdr:spPr>
        <a:xfrm xmlns:a="http://schemas.openxmlformats.org/drawingml/2006/main">
          <a:off x="2051050" y="2203450"/>
          <a:ext cx="307661" cy="23119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0.73424</cdr:x>
      <cdr:y>0.74403</cdr:y>
    </cdr:from>
    <cdr:to>
      <cdr:x>0.79398</cdr:x>
      <cdr:y>0.74476</cdr:y>
    </cdr:to>
    <cdr:cxnSp macro="">
      <cdr:nvCxnSpPr>
        <cdr:cNvPr id="31" name="Straight Arrow Connector 30">
          <a:extLst xmlns:a="http://schemas.openxmlformats.org/drawingml/2006/main">
            <a:ext uri="{FF2B5EF4-FFF2-40B4-BE49-F238E27FC236}">
              <a16:creationId xmlns:a16="http://schemas.microsoft.com/office/drawing/2014/main" id="{4722ED42-3339-4FDA-BC8E-6E0F320C40DE}"/>
            </a:ext>
          </a:extLst>
        </cdr:cNvPr>
        <cdr:cNvCxnSpPr/>
      </cdr:nvCxnSpPr>
      <cdr:spPr>
        <a:xfrm xmlns:a="http://schemas.openxmlformats.org/drawingml/2006/main">
          <a:off x="5657851" y="3267075"/>
          <a:ext cx="460374" cy="317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B0F0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0.3799</cdr:x>
      <cdr:y>0.79465</cdr:y>
    </cdr:from>
    <cdr:to>
      <cdr:x>0.43964</cdr:x>
      <cdr:y>0.79537</cdr:y>
    </cdr:to>
    <cdr:cxnSp macro="">
      <cdr:nvCxnSpPr>
        <cdr:cNvPr id="33" name="Straight Arrow Connector 32">
          <a:extLst xmlns:a="http://schemas.openxmlformats.org/drawingml/2006/main">
            <a:ext uri="{FF2B5EF4-FFF2-40B4-BE49-F238E27FC236}">
              <a16:creationId xmlns:a16="http://schemas.microsoft.com/office/drawing/2014/main" id="{1D6BFF8E-8B76-4EF2-B31D-2DCBC4A0B07F}"/>
            </a:ext>
          </a:extLst>
        </cdr:cNvPr>
        <cdr:cNvCxnSpPr/>
      </cdr:nvCxnSpPr>
      <cdr:spPr>
        <a:xfrm xmlns:a="http://schemas.openxmlformats.org/drawingml/2006/main">
          <a:off x="2927388" y="3489336"/>
          <a:ext cx="460340" cy="3161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00B0F0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0.22126</cdr:x>
      <cdr:y>0.81924</cdr:y>
    </cdr:from>
    <cdr:to>
      <cdr:x>0.28636</cdr:x>
      <cdr:y>0.82213</cdr:y>
    </cdr:to>
    <cdr:cxnSp macro="">
      <cdr:nvCxnSpPr>
        <cdr:cNvPr id="34" name="Straight Arrow Connector 33">
          <a:extLst xmlns:a="http://schemas.openxmlformats.org/drawingml/2006/main">
            <a:ext uri="{FF2B5EF4-FFF2-40B4-BE49-F238E27FC236}">
              <a16:creationId xmlns:a16="http://schemas.microsoft.com/office/drawing/2014/main" id="{08BE5224-6C5F-42C7-870C-9B96230FB4E3}"/>
            </a:ext>
          </a:extLst>
        </cdr:cNvPr>
        <cdr:cNvCxnSpPr/>
      </cdr:nvCxnSpPr>
      <cdr:spPr>
        <a:xfrm xmlns:a="http://schemas.openxmlformats.org/drawingml/2006/main" flipV="1">
          <a:off x="1704976" y="3597283"/>
          <a:ext cx="501621" cy="1269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FF0000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0.60816</cdr:x>
      <cdr:y>0.43818</cdr:y>
    </cdr:from>
    <cdr:to>
      <cdr:x>0.61928</cdr:x>
      <cdr:y>0.53145</cdr:y>
    </cdr:to>
    <cdr:cxnSp macro="">
      <cdr:nvCxnSpPr>
        <cdr:cNvPr id="24" name="Straight Connector 23">
          <a:extLst xmlns:a="http://schemas.openxmlformats.org/drawingml/2006/main">
            <a:ext uri="{FF2B5EF4-FFF2-40B4-BE49-F238E27FC236}">
              <a16:creationId xmlns:a16="http://schemas.microsoft.com/office/drawing/2014/main" id="{661F90BF-1797-4285-9A03-D5012317E9D6}"/>
            </a:ext>
          </a:extLst>
        </cdr:cNvPr>
        <cdr:cNvCxnSpPr/>
      </cdr:nvCxnSpPr>
      <cdr:spPr>
        <a:xfrm xmlns:a="http://schemas.openxmlformats.org/drawingml/2006/main" flipH="1">
          <a:off x="4686301" y="1924059"/>
          <a:ext cx="85700" cy="40956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0.52781</cdr:x>
      <cdr:y>0.53145</cdr:y>
    </cdr:from>
    <cdr:to>
      <cdr:x>0.5958</cdr:x>
      <cdr:y>0.60521</cdr:y>
    </cdr:to>
    <cdr:cxnSp macro="">
      <cdr:nvCxnSpPr>
        <cdr:cNvPr id="38" name="Straight Connector 37">
          <a:extLst xmlns:a="http://schemas.openxmlformats.org/drawingml/2006/main">
            <a:ext uri="{FF2B5EF4-FFF2-40B4-BE49-F238E27FC236}">
              <a16:creationId xmlns:a16="http://schemas.microsoft.com/office/drawing/2014/main" id="{22973EE1-B4E2-40C5-A786-9C014CC1085D}"/>
            </a:ext>
          </a:extLst>
        </cdr:cNvPr>
        <cdr:cNvCxnSpPr/>
      </cdr:nvCxnSpPr>
      <cdr:spPr>
        <a:xfrm xmlns:a="http://schemas.openxmlformats.org/drawingml/2006/main" flipH="1" flipV="1">
          <a:off x="4067176" y="2333625"/>
          <a:ext cx="523875" cy="32385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0.59827</cdr:x>
      <cdr:y>0.52711</cdr:y>
    </cdr:from>
    <cdr:to>
      <cdr:x>0.64401</cdr:x>
      <cdr:y>0.60304</cdr:y>
    </cdr:to>
    <cdr:cxnSp macro="">
      <cdr:nvCxnSpPr>
        <cdr:cNvPr id="39" name="Straight Connector 38">
          <a:extLst xmlns:a="http://schemas.openxmlformats.org/drawingml/2006/main">
            <a:ext uri="{FF2B5EF4-FFF2-40B4-BE49-F238E27FC236}">
              <a16:creationId xmlns:a16="http://schemas.microsoft.com/office/drawing/2014/main" id="{A90DD1A1-D28D-4C6F-A036-70C946488589}"/>
            </a:ext>
          </a:extLst>
        </cdr:cNvPr>
        <cdr:cNvCxnSpPr/>
      </cdr:nvCxnSpPr>
      <cdr:spPr>
        <a:xfrm xmlns:a="http://schemas.openxmlformats.org/drawingml/2006/main" flipH="1">
          <a:off x="4610101" y="2314575"/>
          <a:ext cx="352426" cy="3333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0.3597</cdr:x>
      <cdr:y>0.26898</cdr:y>
    </cdr:from>
    <cdr:to>
      <cdr:x>0.45365</cdr:x>
      <cdr:y>0.34273</cdr:y>
    </cdr:to>
    <cdr:cxnSp macro="">
      <cdr:nvCxnSpPr>
        <cdr:cNvPr id="50" name="Straight Connector 49">
          <a:extLst xmlns:a="http://schemas.openxmlformats.org/drawingml/2006/main">
            <a:ext uri="{FF2B5EF4-FFF2-40B4-BE49-F238E27FC236}">
              <a16:creationId xmlns:a16="http://schemas.microsoft.com/office/drawing/2014/main" id="{9FAFB345-5F2B-4070-828B-738F900B061D}"/>
            </a:ext>
          </a:extLst>
        </cdr:cNvPr>
        <cdr:cNvCxnSpPr/>
      </cdr:nvCxnSpPr>
      <cdr:spPr>
        <a:xfrm xmlns:a="http://schemas.openxmlformats.org/drawingml/2006/main" flipH="1">
          <a:off x="2771776" y="1181100"/>
          <a:ext cx="723901" cy="32385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0.31397</cdr:x>
      <cdr:y>0.50542</cdr:y>
    </cdr:from>
    <cdr:to>
      <cdr:x>0.33622</cdr:x>
      <cdr:y>0.60304</cdr:y>
    </cdr:to>
    <cdr:cxnSp macro="">
      <cdr:nvCxnSpPr>
        <cdr:cNvPr id="51" name="Straight Connector 50">
          <a:extLst xmlns:a="http://schemas.openxmlformats.org/drawingml/2006/main">
            <a:ext uri="{FF2B5EF4-FFF2-40B4-BE49-F238E27FC236}">
              <a16:creationId xmlns:a16="http://schemas.microsoft.com/office/drawing/2014/main" id="{DD7C0A8A-4C12-41BD-A7F5-D64151443A31}"/>
            </a:ext>
          </a:extLst>
        </cdr:cNvPr>
        <cdr:cNvCxnSpPr/>
      </cdr:nvCxnSpPr>
      <cdr:spPr>
        <a:xfrm xmlns:a="http://schemas.openxmlformats.org/drawingml/2006/main">
          <a:off x="2419351" y="2219325"/>
          <a:ext cx="171450" cy="4286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0.29048</cdr:x>
      <cdr:y>0.60087</cdr:y>
    </cdr:from>
    <cdr:to>
      <cdr:x>0.33498</cdr:x>
      <cdr:y>0.78959</cdr:y>
    </cdr:to>
    <cdr:cxnSp macro="">
      <cdr:nvCxnSpPr>
        <cdr:cNvPr id="52" name="Straight Connector 51">
          <a:extLst xmlns:a="http://schemas.openxmlformats.org/drawingml/2006/main">
            <a:ext uri="{FF2B5EF4-FFF2-40B4-BE49-F238E27FC236}">
              <a16:creationId xmlns:a16="http://schemas.microsoft.com/office/drawing/2014/main" id="{35BED82C-50C5-40A4-9BAE-6C290633C5C7}"/>
            </a:ext>
          </a:extLst>
        </cdr:cNvPr>
        <cdr:cNvCxnSpPr/>
      </cdr:nvCxnSpPr>
      <cdr:spPr>
        <a:xfrm xmlns:a="http://schemas.openxmlformats.org/drawingml/2006/main" flipH="1">
          <a:off x="2238377" y="2638425"/>
          <a:ext cx="342899" cy="8286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0.4314</cdr:x>
      <cdr:y>0.26898</cdr:y>
    </cdr:from>
    <cdr:to>
      <cdr:x>0.45612</cdr:x>
      <cdr:y>0.3449</cdr:y>
    </cdr:to>
    <cdr:cxnSp macro="">
      <cdr:nvCxnSpPr>
        <cdr:cNvPr id="53" name="Straight Connector 52">
          <a:extLst xmlns:a="http://schemas.openxmlformats.org/drawingml/2006/main">
            <a:ext uri="{FF2B5EF4-FFF2-40B4-BE49-F238E27FC236}">
              <a16:creationId xmlns:a16="http://schemas.microsoft.com/office/drawing/2014/main" id="{872694CB-2EC9-4558-9F5F-41D31FDC6022}"/>
            </a:ext>
          </a:extLst>
        </cdr:cNvPr>
        <cdr:cNvCxnSpPr/>
      </cdr:nvCxnSpPr>
      <cdr:spPr>
        <a:xfrm xmlns:a="http://schemas.openxmlformats.org/drawingml/2006/main" flipH="1">
          <a:off x="3324226" y="1181100"/>
          <a:ext cx="190501" cy="3333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0.19407</cdr:x>
      <cdr:y>0.34273</cdr:y>
    </cdr:from>
    <cdr:to>
      <cdr:x>0.19448</cdr:x>
      <cdr:y>0.45192</cdr:y>
    </cdr:to>
    <cdr:cxnSp macro="">
      <cdr:nvCxnSpPr>
        <cdr:cNvPr id="56" name="Straight Connector 55">
          <a:extLst xmlns:a="http://schemas.openxmlformats.org/drawingml/2006/main">
            <a:ext uri="{FF2B5EF4-FFF2-40B4-BE49-F238E27FC236}">
              <a16:creationId xmlns:a16="http://schemas.microsoft.com/office/drawing/2014/main" id="{B63EC042-ED26-4E05-8993-F9FDD969A53D}"/>
            </a:ext>
          </a:extLst>
        </cdr:cNvPr>
        <cdr:cNvCxnSpPr/>
      </cdr:nvCxnSpPr>
      <cdr:spPr>
        <a:xfrm xmlns:a="http://schemas.openxmlformats.org/drawingml/2006/main">
          <a:off x="1495426" y="1504950"/>
          <a:ext cx="3175" cy="47942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0.62052</cdr:x>
      <cdr:y>0.43818</cdr:y>
    </cdr:from>
    <cdr:to>
      <cdr:x>0.64277</cdr:x>
      <cdr:y>0.53145</cdr:y>
    </cdr:to>
    <cdr:cxnSp macro="">
      <cdr:nvCxnSpPr>
        <cdr:cNvPr id="58" name="Straight Connector 57">
          <a:extLst xmlns:a="http://schemas.openxmlformats.org/drawingml/2006/main">
            <a:ext uri="{FF2B5EF4-FFF2-40B4-BE49-F238E27FC236}">
              <a16:creationId xmlns:a16="http://schemas.microsoft.com/office/drawing/2014/main" id="{113F3B28-E9BC-4056-86A5-4883BEF30991}"/>
            </a:ext>
          </a:extLst>
        </cdr:cNvPr>
        <cdr:cNvCxnSpPr/>
      </cdr:nvCxnSpPr>
      <cdr:spPr>
        <a:xfrm xmlns:a="http://schemas.openxmlformats.org/drawingml/2006/main">
          <a:off x="4781551" y="1924050"/>
          <a:ext cx="171450" cy="40957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0.3597</cdr:x>
      <cdr:y>0.3449</cdr:y>
    </cdr:from>
    <cdr:to>
      <cdr:x>0.36094</cdr:x>
      <cdr:y>0.38829</cdr:y>
    </cdr:to>
    <cdr:cxnSp macro="">
      <cdr:nvCxnSpPr>
        <cdr:cNvPr id="61" name="Straight Connector 60">
          <a:extLst xmlns:a="http://schemas.openxmlformats.org/drawingml/2006/main">
            <a:ext uri="{FF2B5EF4-FFF2-40B4-BE49-F238E27FC236}">
              <a16:creationId xmlns:a16="http://schemas.microsoft.com/office/drawing/2014/main" id="{63121A2D-5F1A-4F80-BB41-651C3DFD9FF7}"/>
            </a:ext>
          </a:extLst>
        </cdr:cNvPr>
        <cdr:cNvCxnSpPr/>
      </cdr:nvCxnSpPr>
      <cdr:spPr>
        <a:xfrm xmlns:a="http://schemas.openxmlformats.org/drawingml/2006/main">
          <a:off x="2771777" y="1514475"/>
          <a:ext cx="9524" cy="19050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0.19942</cdr:x>
      <cdr:y>0.33839</cdr:y>
    </cdr:from>
    <cdr:to>
      <cdr:x>0.36712</cdr:x>
      <cdr:y>0.34346</cdr:y>
    </cdr:to>
    <cdr:cxnSp macro="">
      <cdr:nvCxnSpPr>
        <cdr:cNvPr id="64" name="Straight Connector 63">
          <a:extLst xmlns:a="http://schemas.openxmlformats.org/drawingml/2006/main">
            <a:ext uri="{FF2B5EF4-FFF2-40B4-BE49-F238E27FC236}">
              <a16:creationId xmlns:a16="http://schemas.microsoft.com/office/drawing/2014/main" id="{F29DC680-691C-4889-8560-88D0C7808946}"/>
            </a:ext>
          </a:extLst>
        </cdr:cNvPr>
        <cdr:cNvCxnSpPr/>
      </cdr:nvCxnSpPr>
      <cdr:spPr>
        <a:xfrm xmlns:a="http://schemas.openxmlformats.org/drawingml/2006/main" flipH="1">
          <a:off x="1536701" y="1485900"/>
          <a:ext cx="1292225" cy="222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0.64401</cdr:x>
      <cdr:y>0.52928</cdr:y>
    </cdr:from>
    <cdr:to>
      <cdr:x>0.74042</cdr:x>
      <cdr:y>0.72017</cdr:y>
    </cdr:to>
    <cdr:cxnSp macro="">
      <cdr:nvCxnSpPr>
        <cdr:cNvPr id="66" name="Straight Connector 65">
          <a:extLst xmlns:a="http://schemas.openxmlformats.org/drawingml/2006/main">
            <a:ext uri="{FF2B5EF4-FFF2-40B4-BE49-F238E27FC236}">
              <a16:creationId xmlns:a16="http://schemas.microsoft.com/office/drawing/2014/main" id="{DC805944-E4CA-49B0-A358-74C1A63C63C9}"/>
            </a:ext>
          </a:extLst>
        </cdr:cNvPr>
        <cdr:cNvCxnSpPr/>
      </cdr:nvCxnSpPr>
      <cdr:spPr>
        <a:xfrm xmlns:a="http://schemas.openxmlformats.org/drawingml/2006/main">
          <a:off x="4962526" y="2324100"/>
          <a:ext cx="742950" cy="8382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0.59745</cdr:x>
      <cdr:y>0.60159</cdr:y>
    </cdr:from>
    <cdr:to>
      <cdr:x>0.73795</cdr:x>
      <cdr:y>0.79176</cdr:y>
    </cdr:to>
    <cdr:cxnSp macro="">
      <cdr:nvCxnSpPr>
        <cdr:cNvPr id="69" name="Straight Connector 68">
          <a:extLst xmlns:a="http://schemas.openxmlformats.org/drawingml/2006/main">
            <a:ext uri="{FF2B5EF4-FFF2-40B4-BE49-F238E27FC236}">
              <a16:creationId xmlns:a16="http://schemas.microsoft.com/office/drawing/2014/main" id="{55AC41A4-5ABA-4A31-814E-78164BA3FB93}"/>
            </a:ext>
          </a:extLst>
        </cdr:cNvPr>
        <cdr:cNvCxnSpPr/>
      </cdr:nvCxnSpPr>
      <cdr:spPr>
        <a:xfrm xmlns:a="http://schemas.openxmlformats.org/drawingml/2006/main">
          <a:off x="4603751" y="2641600"/>
          <a:ext cx="1082675" cy="83502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0.64434</cdr:x>
      <cdr:y>0.53153</cdr:y>
    </cdr:from>
    <cdr:to>
      <cdr:x>0.73795</cdr:x>
      <cdr:y>0.78959</cdr:y>
    </cdr:to>
    <cdr:cxnSp macro="">
      <cdr:nvCxnSpPr>
        <cdr:cNvPr id="71" name="Straight Connector 70">
          <a:extLst xmlns:a="http://schemas.openxmlformats.org/drawingml/2006/main">
            <a:ext uri="{FF2B5EF4-FFF2-40B4-BE49-F238E27FC236}">
              <a16:creationId xmlns:a16="http://schemas.microsoft.com/office/drawing/2014/main" id="{16168DA0-0473-44AB-A5A1-83E5AE4E14B2}"/>
            </a:ext>
          </a:extLst>
        </cdr:cNvPr>
        <cdr:cNvCxnSpPr/>
      </cdr:nvCxnSpPr>
      <cdr:spPr>
        <a:xfrm xmlns:a="http://schemas.openxmlformats.org/drawingml/2006/main">
          <a:off x="6527988" y="2822202"/>
          <a:ext cx="948359" cy="1370183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0.64318</cdr:x>
      <cdr:y>0.25018</cdr:y>
    </cdr:from>
    <cdr:to>
      <cdr:x>0.64401</cdr:x>
      <cdr:y>0.43167</cdr:y>
    </cdr:to>
    <cdr:cxnSp macro="">
      <cdr:nvCxnSpPr>
        <cdr:cNvPr id="73" name="Straight Connector 72">
          <a:extLst xmlns:a="http://schemas.openxmlformats.org/drawingml/2006/main">
            <a:ext uri="{FF2B5EF4-FFF2-40B4-BE49-F238E27FC236}">
              <a16:creationId xmlns:a16="http://schemas.microsoft.com/office/drawing/2014/main" id="{605294CC-4794-4A93-BEEB-AA2022C1B186}"/>
            </a:ext>
          </a:extLst>
        </cdr:cNvPr>
        <cdr:cNvCxnSpPr/>
      </cdr:nvCxnSpPr>
      <cdr:spPr>
        <a:xfrm xmlns:a="http://schemas.openxmlformats.org/drawingml/2006/main">
          <a:off x="4956168" y="1098547"/>
          <a:ext cx="6358" cy="79692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0.64318</cdr:x>
      <cdr:y>0.41215</cdr:y>
    </cdr:from>
    <cdr:to>
      <cdr:x>0.68974</cdr:x>
      <cdr:y>0.52567</cdr:y>
    </cdr:to>
    <cdr:cxnSp macro="">
      <cdr:nvCxnSpPr>
        <cdr:cNvPr id="75" name="Straight Connector 74">
          <a:extLst xmlns:a="http://schemas.openxmlformats.org/drawingml/2006/main">
            <a:ext uri="{FF2B5EF4-FFF2-40B4-BE49-F238E27FC236}">
              <a16:creationId xmlns:a16="http://schemas.microsoft.com/office/drawing/2014/main" id="{A24033D7-4E15-41BB-9C05-4D8E92A98648}"/>
            </a:ext>
          </a:extLst>
        </cdr:cNvPr>
        <cdr:cNvCxnSpPr/>
      </cdr:nvCxnSpPr>
      <cdr:spPr>
        <a:xfrm xmlns:a="http://schemas.openxmlformats.org/drawingml/2006/main" flipH="1">
          <a:off x="4956176" y="1809750"/>
          <a:ext cx="358775" cy="4984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0.63947</cdr:x>
      <cdr:y>0.41721</cdr:y>
    </cdr:from>
    <cdr:to>
      <cdr:x>0.67779</cdr:x>
      <cdr:y>0.47144</cdr:y>
    </cdr:to>
    <cdr:sp macro="" textlink="">
      <cdr:nvSpPr>
        <cdr:cNvPr id="80" name="TextBox 1"/>
        <cdr:cNvSpPr txBox="1"/>
      </cdr:nvSpPr>
      <cdr:spPr>
        <a:xfrm xmlns:a="http://schemas.openxmlformats.org/drawingml/2006/main">
          <a:off x="4927600" y="1831975"/>
          <a:ext cx="295284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S</a:t>
          </a:r>
        </a:p>
      </cdr:txBody>
    </cdr:sp>
  </cdr:relSizeAnchor>
  <cdr:relSizeAnchor xmlns:cdr="http://schemas.openxmlformats.org/drawingml/2006/chartDrawing">
    <cdr:from>
      <cdr:x>0.43308</cdr:x>
      <cdr:y>0.3437</cdr:y>
    </cdr:from>
    <cdr:to>
      <cdr:x>0.52699</cdr:x>
      <cdr:y>0.53001</cdr:y>
    </cdr:to>
    <cdr:cxnSp macro="">
      <cdr:nvCxnSpPr>
        <cdr:cNvPr id="81" name="Straight Connector 80">
          <a:extLst xmlns:a="http://schemas.openxmlformats.org/drawingml/2006/main">
            <a:ext uri="{FF2B5EF4-FFF2-40B4-BE49-F238E27FC236}">
              <a16:creationId xmlns:a16="http://schemas.microsoft.com/office/drawing/2014/main" id="{55A9B095-6262-40CA-9278-812DB754D9CF}"/>
            </a:ext>
          </a:extLst>
        </cdr:cNvPr>
        <cdr:cNvCxnSpPr/>
      </cdr:nvCxnSpPr>
      <cdr:spPr>
        <a:xfrm xmlns:a="http://schemas.openxmlformats.org/drawingml/2006/main">
          <a:off x="4387664" y="1824879"/>
          <a:ext cx="951397" cy="98924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0.52452</cdr:x>
      <cdr:y>0.43818</cdr:y>
    </cdr:from>
    <cdr:to>
      <cdr:x>0.61928</cdr:x>
      <cdr:y>0.53218</cdr:y>
    </cdr:to>
    <cdr:cxnSp macro="">
      <cdr:nvCxnSpPr>
        <cdr:cNvPr id="84" name="Straight Connector 83">
          <a:extLst xmlns:a="http://schemas.openxmlformats.org/drawingml/2006/main">
            <a:ext uri="{FF2B5EF4-FFF2-40B4-BE49-F238E27FC236}">
              <a16:creationId xmlns:a16="http://schemas.microsoft.com/office/drawing/2014/main" id="{C7940559-8242-4BC6-AA59-AC597AAEDD32}"/>
            </a:ext>
          </a:extLst>
        </cdr:cNvPr>
        <cdr:cNvCxnSpPr/>
      </cdr:nvCxnSpPr>
      <cdr:spPr>
        <a:xfrm xmlns:a="http://schemas.openxmlformats.org/drawingml/2006/main" flipH="1">
          <a:off x="4041776" y="1924050"/>
          <a:ext cx="730250" cy="41275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0.3597</cdr:x>
      <cdr:y>0.3449</cdr:y>
    </cdr:from>
    <cdr:to>
      <cdr:x>0.43198</cdr:x>
      <cdr:y>0.34581</cdr:y>
    </cdr:to>
    <cdr:cxnSp macro="">
      <cdr:nvCxnSpPr>
        <cdr:cNvPr id="86" name="Straight Connector 85">
          <a:extLst xmlns:a="http://schemas.openxmlformats.org/drawingml/2006/main">
            <a:ext uri="{FF2B5EF4-FFF2-40B4-BE49-F238E27FC236}">
              <a16:creationId xmlns:a16="http://schemas.microsoft.com/office/drawing/2014/main" id="{27501E2A-2AC4-49DE-BBDA-45C55DCB29D0}"/>
            </a:ext>
          </a:extLst>
        </cdr:cNvPr>
        <cdr:cNvCxnSpPr/>
      </cdr:nvCxnSpPr>
      <cdr:spPr>
        <a:xfrm xmlns:a="http://schemas.openxmlformats.org/drawingml/2006/main" flipH="1" flipV="1">
          <a:off x="3644206" y="1831271"/>
          <a:ext cx="732253" cy="481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0.29048</cdr:x>
      <cdr:y>0.78742</cdr:y>
    </cdr:from>
    <cdr:to>
      <cdr:x>0.40915</cdr:x>
      <cdr:y>0.8308</cdr:y>
    </cdr:to>
    <cdr:cxnSp macro="">
      <cdr:nvCxnSpPr>
        <cdr:cNvPr id="89" name="Straight Connector 88">
          <a:extLst xmlns:a="http://schemas.openxmlformats.org/drawingml/2006/main">
            <a:ext uri="{FF2B5EF4-FFF2-40B4-BE49-F238E27FC236}">
              <a16:creationId xmlns:a16="http://schemas.microsoft.com/office/drawing/2014/main" id="{F1822638-94F3-4BCF-B556-FAD8DBE15F86}"/>
            </a:ext>
          </a:extLst>
        </cdr:cNvPr>
        <cdr:cNvCxnSpPr/>
      </cdr:nvCxnSpPr>
      <cdr:spPr>
        <a:xfrm xmlns:a="http://schemas.openxmlformats.org/drawingml/2006/main" flipH="1" flipV="1">
          <a:off x="2238376" y="3457575"/>
          <a:ext cx="914401" cy="1905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0.35888</cdr:x>
      <cdr:y>0.3825</cdr:y>
    </cdr:from>
    <cdr:to>
      <cdr:x>0.52781</cdr:x>
      <cdr:y>0.53145</cdr:y>
    </cdr:to>
    <cdr:cxnSp macro="">
      <cdr:nvCxnSpPr>
        <cdr:cNvPr id="94" name="Straight Connector 93">
          <a:extLst xmlns:a="http://schemas.openxmlformats.org/drawingml/2006/main">
            <a:ext uri="{FF2B5EF4-FFF2-40B4-BE49-F238E27FC236}">
              <a16:creationId xmlns:a16="http://schemas.microsoft.com/office/drawing/2014/main" id="{31410931-ECC4-47DA-998F-51D1992D5747}"/>
            </a:ext>
          </a:extLst>
        </cdr:cNvPr>
        <cdr:cNvCxnSpPr/>
      </cdr:nvCxnSpPr>
      <cdr:spPr>
        <a:xfrm xmlns:a="http://schemas.openxmlformats.org/drawingml/2006/main">
          <a:off x="2765425" y="1679575"/>
          <a:ext cx="1301751" cy="65405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0.52534</cdr:x>
      <cdr:y>0.52711</cdr:y>
    </cdr:from>
    <cdr:to>
      <cdr:x>0.64401</cdr:x>
      <cdr:y>0.53145</cdr:y>
    </cdr:to>
    <cdr:cxnSp macro="">
      <cdr:nvCxnSpPr>
        <cdr:cNvPr id="96" name="Straight Connector 95">
          <a:extLst xmlns:a="http://schemas.openxmlformats.org/drawingml/2006/main">
            <a:ext uri="{FF2B5EF4-FFF2-40B4-BE49-F238E27FC236}">
              <a16:creationId xmlns:a16="http://schemas.microsoft.com/office/drawing/2014/main" id="{63E82282-7C09-4D68-BCA0-FA652F9F61D5}"/>
            </a:ext>
          </a:extLst>
        </cdr:cNvPr>
        <cdr:cNvCxnSpPr/>
      </cdr:nvCxnSpPr>
      <cdr:spPr>
        <a:xfrm xmlns:a="http://schemas.openxmlformats.org/drawingml/2006/main" flipH="1" flipV="1">
          <a:off x="4048127" y="2314554"/>
          <a:ext cx="914399" cy="19071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0.58411</cdr:x>
      <cdr:y>0.52227</cdr:y>
    </cdr:from>
    <cdr:to>
      <cdr:x>0.62243</cdr:x>
      <cdr:y>0.5765</cdr:y>
    </cdr:to>
    <cdr:sp macro="" textlink="">
      <cdr:nvSpPr>
        <cdr:cNvPr id="99" name="TextBox 1"/>
        <cdr:cNvSpPr txBox="1"/>
      </cdr:nvSpPr>
      <cdr:spPr>
        <a:xfrm xmlns:a="http://schemas.openxmlformats.org/drawingml/2006/main">
          <a:off x="5917735" y="2773033"/>
          <a:ext cx="388230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T</a:t>
          </a:r>
        </a:p>
      </cdr:txBody>
    </cdr:sp>
  </cdr:relSizeAnchor>
  <cdr:relSizeAnchor xmlns:cdr="http://schemas.openxmlformats.org/drawingml/2006/chartDrawing">
    <cdr:from>
      <cdr:x>0.19695</cdr:x>
      <cdr:y>0.37599</cdr:y>
    </cdr:from>
    <cdr:to>
      <cdr:x>0.25523</cdr:x>
      <cdr:y>0.43022</cdr:y>
    </cdr:to>
    <cdr:sp macro="" textlink="">
      <cdr:nvSpPr>
        <cdr:cNvPr id="100" name="TextBox 1"/>
        <cdr:cNvSpPr txBox="1"/>
      </cdr:nvSpPr>
      <cdr:spPr>
        <a:xfrm xmlns:a="http://schemas.openxmlformats.org/drawingml/2006/main">
          <a:off x="1814153" y="1996346"/>
          <a:ext cx="536842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5</a:t>
          </a:r>
          <a:r>
            <a:rPr lang="en-GB" sz="1000" i="1" baseline="0"/>
            <a:t> </a:t>
          </a:r>
          <a:endParaRPr lang="en-GB" sz="800" i="1"/>
        </a:p>
      </cdr:txBody>
    </cdr:sp>
  </cdr:relSizeAnchor>
  <cdr:relSizeAnchor xmlns:cdr="http://schemas.openxmlformats.org/drawingml/2006/chartDrawing">
    <cdr:from>
      <cdr:x>0.2309</cdr:x>
      <cdr:y>0.2914</cdr:y>
    </cdr:from>
    <cdr:to>
      <cdr:x>0.31026</cdr:x>
      <cdr:y>0.34563</cdr:y>
    </cdr:to>
    <cdr:sp macro="" textlink="">
      <cdr:nvSpPr>
        <cdr:cNvPr id="101" name="TextBox 1"/>
        <cdr:cNvSpPr txBox="1"/>
      </cdr:nvSpPr>
      <cdr:spPr>
        <a:xfrm xmlns:a="http://schemas.openxmlformats.org/drawingml/2006/main">
          <a:off x="2126879" y="1547209"/>
          <a:ext cx="731000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7 </a:t>
          </a:r>
          <a:endParaRPr lang="en-GB" sz="800" i="1"/>
        </a:p>
      </cdr:txBody>
    </cdr:sp>
  </cdr:relSizeAnchor>
  <cdr:relSizeAnchor xmlns:cdr="http://schemas.openxmlformats.org/drawingml/2006/chartDrawing">
    <cdr:from>
      <cdr:x>0.36259</cdr:x>
      <cdr:y>0.34129</cdr:y>
    </cdr:from>
    <cdr:to>
      <cdr:x>0.42311</cdr:x>
      <cdr:y>0.39552</cdr:y>
    </cdr:to>
    <cdr:sp macro="" textlink="">
      <cdr:nvSpPr>
        <cdr:cNvPr id="102" name="TextBox 1"/>
        <cdr:cNvSpPr txBox="1"/>
      </cdr:nvSpPr>
      <cdr:spPr>
        <a:xfrm xmlns:a="http://schemas.openxmlformats.org/drawingml/2006/main">
          <a:off x="3339902" y="1812104"/>
          <a:ext cx="557505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2 </a:t>
          </a:r>
          <a:endParaRPr lang="en-GB" sz="800" i="1"/>
        </a:p>
      </cdr:txBody>
    </cdr:sp>
  </cdr:relSizeAnchor>
  <cdr:relSizeAnchor xmlns:cdr="http://schemas.openxmlformats.org/drawingml/2006/chartDrawing">
    <cdr:from>
      <cdr:x>0.3826</cdr:x>
      <cdr:y>0.30429</cdr:y>
    </cdr:from>
    <cdr:to>
      <cdr:x>0.43287</cdr:x>
      <cdr:y>0.35852</cdr:y>
    </cdr:to>
    <cdr:sp macro="" textlink="">
      <cdr:nvSpPr>
        <cdr:cNvPr id="103" name="TextBox 1"/>
        <cdr:cNvSpPr txBox="1"/>
      </cdr:nvSpPr>
      <cdr:spPr>
        <a:xfrm xmlns:a="http://schemas.openxmlformats.org/drawingml/2006/main">
          <a:off x="3524231" y="1615655"/>
          <a:ext cx="463049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3 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0.36837</cdr:x>
      <cdr:y>0.25886</cdr:y>
    </cdr:from>
    <cdr:to>
      <cdr:x>0.44252</cdr:x>
      <cdr:y>0.31309</cdr:y>
    </cdr:to>
    <cdr:sp macro="" textlink="">
      <cdr:nvSpPr>
        <cdr:cNvPr id="104" name="TextBox 1"/>
        <cdr:cNvSpPr txBox="1"/>
      </cdr:nvSpPr>
      <cdr:spPr>
        <a:xfrm xmlns:a="http://schemas.openxmlformats.org/drawingml/2006/main">
          <a:off x="3393143" y="1374436"/>
          <a:ext cx="683014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5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0.17305</cdr:x>
      <cdr:y>0.1812</cdr:y>
    </cdr:from>
    <cdr:to>
      <cdr:x>0.74197</cdr:x>
      <cdr:y>0.9009</cdr:y>
    </cdr:to>
    <cdr:sp macro="" textlink="">
      <cdr:nvSpPr>
        <cdr:cNvPr id="21" name="Freeform 20"/>
        <cdr:cNvSpPr/>
      </cdr:nvSpPr>
      <cdr:spPr>
        <a:xfrm xmlns:a="http://schemas.openxmlformats.org/drawingml/2006/main">
          <a:off x="1333502" y="795640"/>
          <a:ext cx="4383938" cy="3160253"/>
        </a:xfrm>
        <a:custGeom xmlns:a="http://schemas.openxmlformats.org/drawingml/2006/main">
          <a:avLst/>
          <a:gdLst>
            <a:gd name="connsiteX0" fmla="*/ 2276483 w 4593496"/>
            <a:gd name="connsiteY0" fmla="*/ 2973981 h 3634757"/>
            <a:gd name="connsiteX1" fmla="*/ 2019308 w 4593496"/>
            <a:gd name="connsiteY1" fmla="*/ 3345456 h 3634757"/>
            <a:gd name="connsiteX2" fmla="*/ 1333508 w 4593496"/>
            <a:gd name="connsiteY2" fmla="*/ 3631206 h 3634757"/>
            <a:gd name="connsiteX3" fmla="*/ 1104908 w 4593496"/>
            <a:gd name="connsiteY3" fmla="*/ 3145431 h 3634757"/>
            <a:gd name="connsiteX4" fmla="*/ 1019183 w 4593496"/>
            <a:gd name="connsiteY4" fmla="*/ 2488206 h 3634757"/>
            <a:gd name="connsiteX5" fmla="*/ 381008 w 4593496"/>
            <a:gd name="connsiteY5" fmla="*/ 1697631 h 3634757"/>
            <a:gd name="connsiteX6" fmla="*/ 8 w 4593496"/>
            <a:gd name="connsiteY6" fmla="*/ 1430931 h 3634757"/>
            <a:gd name="connsiteX7" fmla="*/ 390533 w 4593496"/>
            <a:gd name="connsiteY7" fmla="*/ 1173756 h 3634757"/>
            <a:gd name="connsiteX8" fmla="*/ 1076333 w 4593496"/>
            <a:gd name="connsiteY8" fmla="*/ 487956 h 3634757"/>
            <a:gd name="connsiteX9" fmla="*/ 2076458 w 4593496"/>
            <a:gd name="connsiteY9" fmla="*/ 2181 h 3634757"/>
            <a:gd name="connsiteX10" fmla="*/ 2324108 w 4593496"/>
            <a:gd name="connsiteY10" fmla="*/ 678456 h 3634757"/>
            <a:gd name="connsiteX11" fmla="*/ 2371733 w 4593496"/>
            <a:gd name="connsiteY11" fmla="*/ 868956 h 3634757"/>
            <a:gd name="connsiteX12" fmla="*/ 2914658 w 4593496"/>
            <a:gd name="connsiteY12" fmla="*/ 1011831 h 3634757"/>
            <a:gd name="connsiteX13" fmla="*/ 3829058 w 4593496"/>
            <a:gd name="connsiteY13" fmla="*/ 792756 h 3634757"/>
            <a:gd name="connsiteX14" fmla="*/ 4210058 w 4593496"/>
            <a:gd name="connsiteY14" fmla="*/ 1478556 h 3634757"/>
            <a:gd name="connsiteX15" fmla="*/ 4514858 w 4593496"/>
            <a:gd name="connsiteY15" fmla="*/ 1888131 h 3634757"/>
            <a:gd name="connsiteX16" fmla="*/ 4572008 w 4593496"/>
            <a:gd name="connsiteY16" fmla="*/ 2831106 h 3634757"/>
            <a:gd name="connsiteX17" fmla="*/ 4562483 w 4593496"/>
            <a:gd name="connsiteY17" fmla="*/ 3135906 h 3634757"/>
            <a:gd name="connsiteX18" fmla="*/ 4219583 w 4593496"/>
            <a:gd name="connsiteY18" fmla="*/ 3393081 h 3634757"/>
            <a:gd name="connsiteX19" fmla="*/ 3276608 w 4593496"/>
            <a:gd name="connsiteY19" fmla="*/ 3231156 h 3634757"/>
            <a:gd name="connsiteX20" fmla="*/ 2800358 w 4593496"/>
            <a:gd name="connsiteY20" fmla="*/ 2859681 h 3634757"/>
            <a:gd name="connsiteX21" fmla="*/ 2276483 w 4593496"/>
            <a:gd name="connsiteY21" fmla="*/ 2973981 h 3634757"/>
            <a:gd name="connsiteX0" fmla="*/ 2276483 w 4593496"/>
            <a:gd name="connsiteY0" fmla="*/ 2505011 h 3165787"/>
            <a:gd name="connsiteX1" fmla="*/ 2019308 w 4593496"/>
            <a:gd name="connsiteY1" fmla="*/ 2876486 h 3165787"/>
            <a:gd name="connsiteX2" fmla="*/ 1333508 w 4593496"/>
            <a:gd name="connsiteY2" fmla="*/ 3162236 h 3165787"/>
            <a:gd name="connsiteX3" fmla="*/ 1104908 w 4593496"/>
            <a:gd name="connsiteY3" fmla="*/ 2676461 h 3165787"/>
            <a:gd name="connsiteX4" fmla="*/ 1019183 w 4593496"/>
            <a:gd name="connsiteY4" fmla="*/ 2019236 h 3165787"/>
            <a:gd name="connsiteX5" fmla="*/ 381008 w 4593496"/>
            <a:gd name="connsiteY5" fmla="*/ 1228661 h 3165787"/>
            <a:gd name="connsiteX6" fmla="*/ 8 w 4593496"/>
            <a:gd name="connsiteY6" fmla="*/ 961961 h 3165787"/>
            <a:gd name="connsiteX7" fmla="*/ 390533 w 4593496"/>
            <a:gd name="connsiteY7" fmla="*/ 704786 h 3165787"/>
            <a:gd name="connsiteX8" fmla="*/ 1076333 w 4593496"/>
            <a:gd name="connsiteY8" fmla="*/ 18986 h 3165787"/>
            <a:gd name="connsiteX9" fmla="*/ 2324108 w 4593496"/>
            <a:gd name="connsiteY9" fmla="*/ 209486 h 3165787"/>
            <a:gd name="connsiteX10" fmla="*/ 2371733 w 4593496"/>
            <a:gd name="connsiteY10" fmla="*/ 399986 h 3165787"/>
            <a:gd name="connsiteX11" fmla="*/ 2914658 w 4593496"/>
            <a:gd name="connsiteY11" fmla="*/ 542861 h 3165787"/>
            <a:gd name="connsiteX12" fmla="*/ 3829058 w 4593496"/>
            <a:gd name="connsiteY12" fmla="*/ 323786 h 3165787"/>
            <a:gd name="connsiteX13" fmla="*/ 4210058 w 4593496"/>
            <a:gd name="connsiteY13" fmla="*/ 1009586 h 3165787"/>
            <a:gd name="connsiteX14" fmla="*/ 4514858 w 4593496"/>
            <a:gd name="connsiteY14" fmla="*/ 1419161 h 3165787"/>
            <a:gd name="connsiteX15" fmla="*/ 4572008 w 4593496"/>
            <a:gd name="connsiteY15" fmla="*/ 2362136 h 3165787"/>
            <a:gd name="connsiteX16" fmla="*/ 4562483 w 4593496"/>
            <a:gd name="connsiteY16" fmla="*/ 2666936 h 3165787"/>
            <a:gd name="connsiteX17" fmla="*/ 4219583 w 4593496"/>
            <a:gd name="connsiteY17" fmla="*/ 2924111 h 3165787"/>
            <a:gd name="connsiteX18" fmla="*/ 3276608 w 4593496"/>
            <a:gd name="connsiteY18" fmla="*/ 2762186 h 3165787"/>
            <a:gd name="connsiteX19" fmla="*/ 2800358 w 4593496"/>
            <a:gd name="connsiteY19" fmla="*/ 2390711 h 3165787"/>
            <a:gd name="connsiteX20" fmla="*/ 2276483 w 4593496"/>
            <a:gd name="connsiteY20" fmla="*/ 2505011 h 3165787"/>
            <a:gd name="connsiteX0" fmla="*/ 2276483 w 4593496"/>
            <a:gd name="connsiteY0" fmla="*/ 2491110 h 3151886"/>
            <a:gd name="connsiteX1" fmla="*/ 2019308 w 4593496"/>
            <a:gd name="connsiteY1" fmla="*/ 2862585 h 3151886"/>
            <a:gd name="connsiteX2" fmla="*/ 1333508 w 4593496"/>
            <a:gd name="connsiteY2" fmla="*/ 3148335 h 3151886"/>
            <a:gd name="connsiteX3" fmla="*/ 1104908 w 4593496"/>
            <a:gd name="connsiteY3" fmla="*/ 2662560 h 3151886"/>
            <a:gd name="connsiteX4" fmla="*/ 1019183 w 4593496"/>
            <a:gd name="connsiteY4" fmla="*/ 2005335 h 3151886"/>
            <a:gd name="connsiteX5" fmla="*/ 381008 w 4593496"/>
            <a:gd name="connsiteY5" fmla="*/ 1214760 h 3151886"/>
            <a:gd name="connsiteX6" fmla="*/ 8 w 4593496"/>
            <a:gd name="connsiteY6" fmla="*/ 948060 h 3151886"/>
            <a:gd name="connsiteX7" fmla="*/ 390533 w 4593496"/>
            <a:gd name="connsiteY7" fmla="*/ 690885 h 3151886"/>
            <a:gd name="connsiteX8" fmla="*/ 1076333 w 4593496"/>
            <a:gd name="connsiteY8" fmla="*/ 5085 h 3151886"/>
            <a:gd name="connsiteX9" fmla="*/ 2371733 w 4593496"/>
            <a:gd name="connsiteY9" fmla="*/ 386085 h 3151886"/>
            <a:gd name="connsiteX10" fmla="*/ 2914658 w 4593496"/>
            <a:gd name="connsiteY10" fmla="*/ 528960 h 3151886"/>
            <a:gd name="connsiteX11" fmla="*/ 3829058 w 4593496"/>
            <a:gd name="connsiteY11" fmla="*/ 309885 h 3151886"/>
            <a:gd name="connsiteX12" fmla="*/ 4210058 w 4593496"/>
            <a:gd name="connsiteY12" fmla="*/ 995685 h 3151886"/>
            <a:gd name="connsiteX13" fmla="*/ 4514858 w 4593496"/>
            <a:gd name="connsiteY13" fmla="*/ 1405260 h 3151886"/>
            <a:gd name="connsiteX14" fmla="*/ 4572008 w 4593496"/>
            <a:gd name="connsiteY14" fmla="*/ 2348235 h 3151886"/>
            <a:gd name="connsiteX15" fmla="*/ 4562483 w 4593496"/>
            <a:gd name="connsiteY15" fmla="*/ 2653035 h 3151886"/>
            <a:gd name="connsiteX16" fmla="*/ 4219583 w 4593496"/>
            <a:gd name="connsiteY16" fmla="*/ 2910210 h 3151886"/>
            <a:gd name="connsiteX17" fmla="*/ 3276608 w 4593496"/>
            <a:gd name="connsiteY17" fmla="*/ 2748285 h 3151886"/>
            <a:gd name="connsiteX18" fmla="*/ 2800358 w 4593496"/>
            <a:gd name="connsiteY18" fmla="*/ 2376810 h 3151886"/>
            <a:gd name="connsiteX19" fmla="*/ 2276483 w 4593496"/>
            <a:gd name="connsiteY19" fmla="*/ 2491110 h 3151886"/>
            <a:gd name="connsiteX0" fmla="*/ 1973488 w 4290501"/>
            <a:gd name="connsiteY0" fmla="*/ 2491110 h 3151886"/>
            <a:gd name="connsiteX1" fmla="*/ 1716313 w 4290501"/>
            <a:gd name="connsiteY1" fmla="*/ 2862585 h 3151886"/>
            <a:gd name="connsiteX2" fmla="*/ 1030513 w 4290501"/>
            <a:gd name="connsiteY2" fmla="*/ 3148335 h 3151886"/>
            <a:gd name="connsiteX3" fmla="*/ 801913 w 4290501"/>
            <a:gd name="connsiteY3" fmla="*/ 2662560 h 3151886"/>
            <a:gd name="connsiteX4" fmla="*/ 716188 w 4290501"/>
            <a:gd name="connsiteY4" fmla="*/ 2005335 h 3151886"/>
            <a:gd name="connsiteX5" fmla="*/ 78013 w 4290501"/>
            <a:gd name="connsiteY5" fmla="*/ 1214760 h 3151886"/>
            <a:gd name="connsiteX6" fmla="*/ 87538 w 4290501"/>
            <a:gd name="connsiteY6" fmla="*/ 690885 h 3151886"/>
            <a:gd name="connsiteX7" fmla="*/ 773338 w 4290501"/>
            <a:gd name="connsiteY7" fmla="*/ 5085 h 3151886"/>
            <a:gd name="connsiteX8" fmla="*/ 2068738 w 4290501"/>
            <a:gd name="connsiteY8" fmla="*/ 386085 h 3151886"/>
            <a:gd name="connsiteX9" fmla="*/ 2611663 w 4290501"/>
            <a:gd name="connsiteY9" fmla="*/ 528960 h 3151886"/>
            <a:gd name="connsiteX10" fmla="*/ 3526063 w 4290501"/>
            <a:gd name="connsiteY10" fmla="*/ 309885 h 3151886"/>
            <a:gd name="connsiteX11" fmla="*/ 3907063 w 4290501"/>
            <a:gd name="connsiteY11" fmla="*/ 995685 h 3151886"/>
            <a:gd name="connsiteX12" fmla="*/ 4211863 w 4290501"/>
            <a:gd name="connsiteY12" fmla="*/ 1405260 h 3151886"/>
            <a:gd name="connsiteX13" fmla="*/ 4269013 w 4290501"/>
            <a:gd name="connsiteY13" fmla="*/ 2348235 h 3151886"/>
            <a:gd name="connsiteX14" fmla="*/ 4259488 w 4290501"/>
            <a:gd name="connsiteY14" fmla="*/ 2653035 h 3151886"/>
            <a:gd name="connsiteX15" fmla="*/ 3916588 w 4290501"/>
            <a:gd name="connsiteY15" fmla="*/ 2910210 h 3151886"/>
            <a:gd name="connsiteX16" fmla="*/ 2973613 w 4290501"/>
            <a:gd name="connsiteY16" fmla="*/ 2748285 h 3151886"/>
            <a:gd name="connsiteX17" fmla="*/ 2497363 w 4290501"/>
            <a:gd name="connsiteY17" fmla="*/ 2376810 h 3151886"/>
            <a:gd name="connsiteX18" fmla="*/ 1973488 w 4290501"/>
            <a:gd name="connsiteY18" fmla="*/ 2491110 h 3151886"/>
            <a:gd name="connsiteX0" fmla="*/ 2497363 w 4290501"/>
            <a:gd name="connsiteY0" fmla="*/ 2376810 h 3152186"/>
            <a:gd name="connsiteX1" fmla="*/ 1716313 w 4290501"/>
            <a:gd name="connsiteY1" fmla="*/ 2862585 h 3152186"/>
            <a:gd name="connsiteX2" fmla="*/ 1030513 w 4290501"/>
            <a:gd name="connsiteY2" fmla="*/ 3148335 h 3152186"/>
            <a:gd name="connsiteX3" fmla="*/ 801913 w 4290501"/>
            <a:gd name="connsiteY3" fmla="*/ 2662560 h 3152186"/>
            <a:gd name="connsiteX4" fmla="*/ 716188 w 4290501"/>
            <a:gd name="connsiteY4" fmla="*/ 2005335 h 3152186"/>
            <a:gd name="connsiteX5" fmla="*/ 78013 w 4290501"/>
            <a:gd name="connsiteY5" fmla="*/ 1214760 h 3152186"/>
            <a:gd name="connsiteX6" fmla="*/ 87538 w 4290501"/>
            <a:gd name="connsiteY6" fmla="*/ 690885 h 3152186"/>
            <a:gd name="connsiteX7" fmla="*/ 773338 w 4290501"/>
            <a:gd name="connsiteY7" fmla="*/ 5085 h 3152186"/>
            <a:gd name="connsiteX8" fmla="*/ 2068738 w 4290501"/>
            <a:gd name="connsiteY8" fmla="*/ 386085 h 3152186"/>
            <a:gd name="connsiteX9" fmla="*/ 2611663 w 4290501"/>
            <a:gd name="connsiteY9" fmla="*/ 528960 h 3152186"/>
            <a:gd name="connsiteX10" fmla="*/ 3526063 w 4290501"/>
            <a:gd name="connsiteY10" fmla="*/ 309885 h 3152186"/>
            <a:gd name="connsiteX11" fmla="*/ 3907063 w 4290501"/>
            <a:gd name="connsiteY11" fmla="*/ 995685 h 3152186"/>
            <a:gd name="connsiteX12" fmla="*/ 4211863 w 4290501"/>
            <a:gd name="connsiteY12" fmla="*/ 1405260 h 3152186"/>
            <a:gd name="connsiteX13" fmla="*/ 4269013 w 4290501"/>
            <a:gd name="connsiteY13" fmla="*/ 2348235 h 3152186"/>
            <a:gd name="connsiteX14" fmla="*/ 4259488 w 4290501"/>
            <a:gd name="connsiteY14" fmla="*/ 2653035 h 3152186"/>
            <a:gd name="connsiteX15" fmla="*/ 3916588 w 4290501"/>
            <a:gd name="connsiteY15" fmla="*/ 2910210 h 3152186"/>
            <a:gd name="connsiteX16" fmla="*/ 2973613 w 4290501"/>
            <a:gd name="connsiteY16" fmla="*/ 2748285 h 3152186"/>
            <a:gd name="connsiteX17" fmla="*/ 2497363 w 4290501"/>
            <a:gd name="connsiteY17" fmla="*/ 2376810 h 3152186"/>
            <a:gd name="connsiteX0" fmla="*/ 2973613 w 4290501"/>
            <a:gd name="connsiteY0" fmla="*/ 2748285 h 3151353"/>
            <a:gd name="connsiteX1" fmla="*/ 1716313 w 4290501"/>
            <a:gd name="connsiteY1" fmla="*/ 2862585 h 3151353"/>
            <a:gd name="connsiteX2" fmla="*/ 1030513 w 4290501"/>
            <a:gd name="connsiteY2" fmla="*/ 3148335 h 3151353"/>
            <a:gd name="connsiteX3" fmla="*/ 801913 w 4290501"/>
            <a:gd name="connsiteY3" fmla="*/ 2662560 h 3151353"/>
            <a:gd name="connsiteX4" fmla="*/ 716188 w 4290501"/>
            <a:gd name="connsiteY4" fmla="*/ 2005335 h 3151353"/>
            <a:gd name="connsiteX5" fmla="*/ 78013 w 4290501"/>
            <a:gd name="connsiteY5" fmla="*/ 1214760 h 3151353"/>
            <a:gd name="connsiteX6" fmla="*/ 87538 w 4290501"/>
            <a:gd name="connsiteY6" fmla="*/ 690885 h 3151353"/>
            <a:gd name="connsiteX7" fmla="*/ 773338 w 4290501"/>
            <a:gd name="connsiteY7" fmla="*/ 5085 h 3151353"/>
            <a:gd name="connsiteX8" fmla="*/ 2068738 w 4290501"/>
            <a:gd name="connsiteY8" fmla="*/ 386085 h 3151353"/>
            <a:gd name="connsiteX9" fmla="*/ 2611663 w 4290501"/>
            <a:gd name="connsiteY9" fmla="*/ 528960 h 3151353"/>
            <a:gd name="connsiteX10" fmla="*/ 3526063 w 4290501"/>
            <a:gd name="connsiteY10" fmla="*/ 309885 h 3151353"/>
            <a:gd name="connsiteX11" fmla="*/ 3907063 w 4290501"/>
            <a:gd name="connsiteY11" fmla="*/ 995685 h 3151353"/>
            <a:gd name="connsiteX12" fmla="*/ 4211863 w 4290501"/>
            <a:gd name="connsiteY12" fmla="*/ 1405260 h 3151353"/>
            <a:gd name="connsiteX13" fmla="*/ 4269013 w 4290501"/>
            <a:gd name="connsiteY13" fmla="*/ 2348235 h 3151353"/>
            <a:gd name="connsiteX14" fmla="*/ 4259488 w 4290501"/>
            <a:gd name="connsiteY14" fmla="*/ 2653035 h 3151353"/>
            <a:gd name="connsiteX15" fmla="*/ 3916588 w 4290501"/>
            <a:gd name="connsiteY15" fmla="*/ 2910210 h 3151353"/>
            <a:gd name="connsiteX16" fmla="*/ 2973613 w 4290501"/>
            <a:gd name="connsiteY16" fmla="*/ 2748285 h 3151353"/>
            <a:gd name="connsiteX0" fmla="*/ 2934765 w 4251653"/>
            <a:gd name="connsiteY0" fmla="*/ 2748285 h 3151353"/>
            <a:gd name="connsiteX1" fmla="*/ 1677465 w 4251653"/>
            <a:gd name="connsiteY1" fmla="*/ 2862585 h 3151353"/>
            <a:gd name="connsiteX2" fmla="*/ 991665 w 4251653"/>
            <a:gd name="connsiteY2" fmla="*/ 3148335 h 3151353"/>
            <a:gd name="connsiteX3" fmla="*/ 763065 w 4251653"/>
            <a:gd name="connsiteY3" fmla="*/ 2662560 h 3151353"/>
            <a:gd name="connsiteX4" fmla="*/ 677340 w 4251653"/>
            <a:gd name="connsiteY4" fmla="*/ 2005335 h 3151353"/>
            <a:gd name="connsiteX5" fmla="*/ 124890 w 4251653"/>
            <a:gd name="connsiteY5" fmla="*/ 1567185 h 3151353"/>
            <a:gd name="connsiteX6" fmla="*/ 48690 w 4251653"/>
            <a:gd name="connsiteY6" fmla="*/ 690885 h 3151353"/>
            <a:gd name="connsiteX7" fmla="*/ 734490 w 4251653"/>
            <a:gd name="connsiteY7" fmla="*/ 5085 h 3151353"/>
            <a:gd name="connsiteX8" fmla="*/ 2029890 w 4251653"/>
            <a:gd name="connsiteY8" fmla="*/ 386085 h 3151353"/>
            <a:gd name="connsiteX9" fmla="*/ 2572815 w 4251653"/>
            <a:gd name="connsiteY9" fmla="*/ 528960 h 3151353"/>
            <a:gd name="connsiteX10" fmla="*/ 3487215 w 4251653"/>
            <a:gd name="connsiteY10" fmla="*/ 309885 h 3151353"/>
            <a:gd name="connsiteX11" fmla="*/ 3868215 w 4251653"/>
            <a:gd name="connsiteY11" fmla="*/ 995685 h 3151353"/>
            <a:gd name="connsiteX12" fmla="*/ 4173015 w 4251653"/>
            <a:gd name="connsiteY12" fmla="*/ 1405260 h 3151353"/>
            <a:gd name="connsiteX13" fmla="*/ 4230165 w 4251653"/>
            <a:gd name="connsiteY13" fmla="*/ 2348235 h 3151353"/>
            <a:gd name="connsiteX14" fmla="*/ 4220640 w 4251653"/>
            <a:gd name="connsiteY14" fmla="*/ 2653035 h 3151353"/>
            <a:gd name="connsiteX15" fmla="*/ 3877740 w 4251653"/>
            <a:gd name="connsiteY15" fmla="*/ 2910210 h 3151353"/>
            <a:gd name="connsiteX16" fmla="*/ 2934765 w 4251653"/>
            <a:gd name="connsiteY16" fmla="*/ 2748285 h 3151353"/>
            <a:gd name="connsiteX0" fmla="*/ 2919770 w 4236658"/>
            <a:gd name="connsiteY0" fmla="*/ 2748285 h 3151353"/>
            <a:gd name="connsiteX1" fmla="*/ 1662470 w 4236658"/>
            <a:gd name="connsiteY1" fmla="*/ 2862585 h 3151353"/>
            <a:gd name="connsiteX2" fmla="*/ 976670 w 4236658"/>
            <a:gd name="connsiteY2" fmla="*/ 3148335 h 3151353"/>
            <a:gd name="connsiteX3" fmla="*/ 748070 w 4236658"/>
            <a:gd name="connsiteY3" fmla="*/ 2662560 h 3151353"/>
            <a:gd name="connsiteX4" fmla="*/ 662345 w 4236658"/>
            <a:gd name="connsiteY4" fmla="*/ 2005335 h 3151353"/>
            <a:gd name="connsiteX5" fmla="*/ 109895 w 4236658"/>
            <a:gd name="connsiteY5" fmla="*/ 1567185 h 3151353"/>
            <a:gd name="connsiteX6" fmla="*/ 33695 w 4236658"/>
            <a:gd name="connsiteY6" fmla="*/ 690885 h 3151353"/>
            <a:gd name="connsiteX7" fmla="*/ 719495 w 4236658"/>
            <a:gd name="connsiteY7" fmla="*/ 5085 h 3151353"/>
            <a:gd name="connsiteX8" fmla="*/ 2014895 w 4236658"/>
            <a:gd name="connsiteY8" fmla="*/ 386085 h 3151353"/>
            <a:gd name="connsiteX9" fmla="*/ 2557820 w 4236658"/>
            <a:gd name="connsiteY9" fmla="*/ 528960 h 3151353"/>
            <a:gd name="connsiteX10" fmla="*/ 3472220 w 4236658"/>
            <a:gd name="connsiteY10" fmla="*/ 309885 h 3151353"/>
            <a:gd name="connsiteX11" fmla="*/ 3853220 w 4236658"/>
            <a:gd name="connsiteY11" fmla="*/ 995685 h 3151353"/>
            <a:gd name="connsiteX12" fmla="*/ 4158020 w 4236658"/>
            <a:gd name="connsiteY12" fmla="*/ 1405260 h 3151353"/>
            <a:gd name="connsiteX13" fmla="*/ 4215170 w 4236658"/>
            <a:gd name="connsiteY13" fmla="*/ 2348235 h 3151353"/>
            <a:gd name="connsiteX14" fmla="*/ 4205645 w 4236658"/>
            <a:gd name="connsiteY14" fmla="*/ 2653035 h 3151353"/>
            <a:gd name="connsiteX15" fmla="*/ 3862745 w 4236658"/>
            <a:gd name="connsiteY15" fmla="*/ 2910210 h 3151353"/>
            <a:gd name="connsiteX16" fmla="*/ 2919770 w 4236658"/>
            <a:gd name="connsiteY16" fmla="*/ 2748285 h 3151353"/>
            <a:gd name="connsiteX0" fmla="*/ 3237602 w 4554490"/>
            <a:gd name="connsiteY0" fmla="*/ 2751714 h 3154782"/>
            <a:gd name="connsiteX1" fmla="*/ 1980302 w 4554490"/>
            <a:gd name="connsiteY1" fmla="*/ 2866014 h 3154782"/>
            <a:gd name="connsiteX2" fmla="*/ 1294502 w 4554490"/>
            <a:gd name="connsiteY2" fmla="*/ 3151764 h 3154782"/>
            <a:gd name="connsiteX3" fmla="*/ 1065902 w 4554490"/>
            <a:gd name="connsiteY3" fmla="*/ 2665989 h 3154782"/>
            <a:gd name="connsiteX4" fmla="*/ 980177 w 4554490"/>
            <a:gd name="connsiteY4" fmla="*/ 2008764 h 3154782"/>
            <a:gd name="connsiteX5" fmla="*/ 427727 w 4554490"/>
            <a:gd name="connsiteY5" fmla="*/ 1570614 h 3154782"/>
            <a:gd name="connsiteX6" fmla="*/ 18152 w 4554490"/>
            <a:gd name="connsiteY6" fmla="*/ 799089 h 3154782"/>
            <a:gd name="connsiteX7" fmla="*/ 1037327 w 4554490"/>
            <a:gd name="connsiteY7" fmla="*/ 8514 h 3154782"/>
            <a:gd name="connsiteX8" fmla="*/ 2332727 w 4554490"/>
            <a:gd name="connsiteY8" fmla="*/ 389514 h 3154782"/>
            <a:gd name="connsiteX9" fmla="*/ 2875652 w 4554490"/>
            <a:gd name="connsiteY9" fmla="*/ 532389 h 3154782"/>
            <a:gd name="connsiteX10" fmla="*/ 3790052 w 4554490"/>
            <a:gd name="connsiteY10" fmla="*/ 313314 h 3154782"/>
            <a:gd name="connsiteX11" fmla="*/ 4171052 w 4554490"/>
            <a:gd name="connsiteY11" fmla="*/ 999114 h 3154782"/>
            <a:gd name="connsiteX12" fmla="*/ 4475852 w 4554490"/>
            <a:gd name="connsiteY12" fmla="*/ 1408689 h 3154782"/>
            <a:gd name="connsiteX13" fmla="*/ 4533002 w 4554490"/>
            <a:gd name="connsiteY13" fmla="*/ 2351664 h 3154782"/>
            <a:gd name="connsiteX14" fmla="*/ 4523477 w 4554490"/>
            <a:gd name="connsiteY14" fmla="*/ 2656464 h 3154782"/>
            <a:gd name="connsiteX15" fmla="*/ 4180577 w 4554490"/>
            <a:gd name="connsiteY15" fmla="*/ 2913639 h 3154782"/>
            <a:gd name="connsiteX16" fmla="*/ 3237602 w 4554490"/>
            <a:gd name="connsiteY16" fmla="*/ 2751714 h 3154782"/>
            <a:gd name="connsiteX0" fmla="*/ 3241686 w 4558574"/>
            <a:gd name="connsiteY0" fmla="*/ 2751714 h 3154782"/>
            <a:gd name="connsiteX1" fmla="*/ 1984386 w 4558574"/>
            <a:gd name="connsiteY1" fmla="*/ 2866014 h 3154782"/>
            <a:gd name="connsiteX2" fmla="*/ 1298586 w 4558574"/>
            <a:gd name="connsiteY2" fmla="*/ 3151764 h 3154782"/>
            <a:gd name="connsiteX3" fmla="*/ 1069986 w 4558574"/>
            <a:gd name="connsiteY3" fmla="*/ 2665989 h 3154782"/>
            <a:gd name="connsiteX4" fmla="*/ 984261 w 4558574"/>
            <a:gd name="connsiteY4" fmla="*/ 2008764 h 3154782"/>
            <a:gd name="connsiteX5" fmla="*/ 431811 w 4558574"/>
            <a:gd name="connsiteY5" fmla="*/ 1570614 h 3154782"/>
            <a:gd name="connsiteX6" fmla="*/ 346085 w 4558574"/>
            <a:gd name="connsiteY6" fmla="*/ 1208664 h 3154782"/>
            <a:gd name="connsiteX7" fmla="*/ 22236 w 4558574"/>
            <a:gd name="connsiteY7" fmla="*/ 799089 h 3154782"/>
            <a:gd name="connsiteX8" fmla="*/ 1041411 w 4558574"/>
            <a:gd name="connsiteY8" fmla="*/ 8514 h 3154782"/>
            <a:gd name="connsiteX9" fmla="*/ 2336811 w 4558574"/>
            <a:gd name="connsiteY9" fmla="*/ 389514 h 3154782"/>
            <a:gd name="connsiteX10" fmla="*/ 2879736 w 4558574"/>
            <a:gd name="connsiteY10" fmla="*/ 532389 h 3154782"/>
            <a:gd name="connsiteX11" fmla="*/ 3794136 w 4558574"/>
            <a:gd name="connsiteY11" fmla="*/ 313314 h 3154782"/>
            <a:gd name="connsiteX12" fmla="*/ 4175136 w 4558574"/>
            <a:gd name="connsiteY12" fmla="*/ 999114 h 3154782"/>
            <a:gd name="connsiteX13" fmla="*/ 4479936 w 4558574"/>
            <a:gd name="connsiteY13" fmla="*/ 1408689 h 3154782"/>
            <a:gd name="connsiteX14" fmla="*/ 4537086 w 4558574"/>
            <a:gd name="connsiteY14" fmla="*/ 2351664 h 3154782"/>
            <a:gd name="connsiteX15" fmla="*/ 4527561 w 4558574"/>
            <a:gd name="connsiteY15" fmla="*/ 2656464 h 3154782"/>
            <a:gd name="connsiteX16" fmla="*/ 4184661 w 4558574"/>
            <a:gd name="connsiteY16" fmla="*/ 2913639 h 3154782"/>
            <a:gd name="connsiteX17" fmla="*/ 3241686 w 4558574"/>
            <a:gd name="connsiteY17" fmla="*/ 2751714 h 3154782"/>
            <a:gd name="connsiteX0" fmla="*/ 346085 w 4558574"/>
            <a:gd name="connsiteY0" fmla="*/ 1208664 h 3154782"/>
            <a:gd name="connsiteX1" fmla="*/ 22236 w 4558574"/>
            <a:gd name="connsiteY1" fmla="*/ 799089 h 3154782"/>
            <a:gd name="connsiteX2" fmla="*/ 1041411 w 4558574"/>
            <a:gd name="connsiteY2" fmla="*/ 8514 h 3154782"/>
            <a:gd name="connsiteX3" fmla="*/ 2336811 w 4558574"/>
            <a:gd name="connsiteY3" fmla="*/ 389514 h 3154782"/>
            <a:gd name="connsiteX4" fmla="*/ 2879736 w 4558574"/>
            <a:gd name="connsiteY4" fmla="*/ 532389 h 3154782"/>
            <a:gd name="connsiteX5" fmla="*/ 3794136 w 4558574"/>
            <a:gd name="connsiteY5" fmla="*/ 313314 h 3154782"/>
            <a:gd name="connsiteX6" fmla="*/ 4175136 w 4558574"/>
            <a:gd name="connsiteY6" fmla="*/ 999114 h 3154782"/>
            <a:gd name="connsiteX7" fmla="*/ 4479936 w 4558574"/>
            <a:gd name="connsiteY7" fmla="*/ 1408689 h 3154782"/>
            <a:gd name="connsiteX8" fmla="*/ 4537086 w 4558574"/>
            <a:gd name="connsiteY8" fmla="*/ 2351664 h 3154782"/>
            <a:gd name="connsiteX9" fmla="*/ 4527561 w 4558574"/>
            <a:gd name="connsiteY9" fmla="*/ 2656464 h 3154782"/>
            <a:gd name="connsiteX10" fmla="*/ 4184661 w 4558574"/>
            <a:gd name="connsiteY10" fmla="*/ 2913639 h 3154782"/>
            <a:gd name="connsiteX11" fmla="*/ 3241686 w 4558574"/>
            <a:gd name="connsiteY11" fmla="*/ 2751714 h 3154782"/>
            <a:gd name="connsiteX12" fmla="*/ 1984386 w 4558574"/>
            <a:gd name="connsiteY12" fmla="*/ 2866014 h 3154782"/>
            <a:gd name="connsiteX13" fmla="*/ 1298586 w 4558574"/>
            <a:gd name="connsiteY13" fmla="*/ 3151764 h 3154782"/>
            <a:gd name="connsiteX14" fmla="*/ 1069986 w 4558574"/>
            <a:gd name="connsiteY14" fmla="*/ 2665989 h 3154782"/>
            <a:gd name="connsiteX15" fmla="*/ 984261 w 4558574"/>
            <a:gd name="connsiteY15" fmla="*/ 2008764 h 3154782"/>
            <a:gd name="connsiteX16" fmla="*/ 523251 w 4558574"/>
            <a:gd name="connsiteY16" fmla="*/ 1662054 h 3154782"/>
            <a:gd name="connsiteX0" fmla="*/ 323849 w 4536338"/>
            <a:gd name="connsiteY0" fmla="*/ 1208664 h 3154782"/>
            <a:gd name="connsiteX1" fmla="*/ 0 w 4536338"/>
            <a:gd name="connsiteY1" fmla="*/ 799089 h 3154782"/>
            <a:gd name="connsiteX2" fmla="*/ 1019175 w 4536338"/>
            <a:gd name="connsiteY2" fmla="*/ 8514 h 3154782"/>
            <a:gd name="connsiteX3" fmla="*/ 2314575 w 4536338"/>
            <a:gd name="connsiteY3" fmla="*/ 389514 h 3154782"/>
            <a:gd name="connsiteX4" fmla="*/ 2857500 w 4536338"/>
            <a:gd name="connsiteY4" fmla="*/ 532389 h 3154782"/>
            <a:gd name="connsiteX5" fmla="*/ 3771900 w 4536338"/>
            <a:gd name="connsiteY5" fmla="*/ 313314 h 3154782"/>
            <a:gd name="connsiteX6" fmla="*/ 4152900 w 4536338"/>
            <a:gd name="connsiteY6" fmla="*/ 999114 h 3154782"/>
            <a:gd name="connsiteX7" fmla="*/ 4457700 w 4536338"/>
            <a:gd name="connsiteY7" fmla="*/ 1408689 h 3154782"/>
            <a:gd name="connsiteX8" fmla="*/ 4514850 w 4536338"/>
            <a:gd name="connsiteY8" fmla="*/ 2351664 h 3154782"/>
            <a:gd name="connsiteX9" fmla="*/ 4505325 w 4536338"/>
            <a:gd name="connsiteY9" fmla="*/ 2656464 h 3154782"/>
            <a:gd name="connsiteX10" fmla="*/ 4162425 w 4536338"/>
            <a:gd name="connsiteY10" fmla="*/ 2913639 h 3154782"/>
            <a:gd name="connsiteX11" fmla="*/ 3219450 w 4536338"/>
            <a:gd name="connsiteY11" fmla="*/ 2751714 h 3154782"/>
            <a:gd name="connsiteX12" fmla="*/ 1962150 w 4536338"/>
            <a:gd name="connsiteY12" fmla="*/ 2866014 h 3154782"/>
            <a:gd name="connsiteX13" fmla="*/ 1276350 w 4536338"/>
            <a:gd name="connsiteY13" fmla="*/ 3151764 h 3154782"/>
            <a:gd name="connsiteX14" fmla="*/ 1047750 w 4536338"/>
            <a:gd name="connsiteY14" fmla="*/ 2665989 h 3154782"/>
            <a:gd name="connsiteX15" fmla="*/ 962025 w 4536338"/>
            <a:gd name="connsiteY15" fmla="*/ 2008764 h 3154782"/>
            <a:gd name="connsiteX16" fmla="*/ 501015 w 4536338"/>
            <a:gd name="connsiteY16" fmla="*/ 1662054 h 3154782"/>
            <a:gd name="connsiteX0" fmla="*/ 323849 w 4536338"/>
            <a:gd name="connsiteY0" fmla="*/ 1208664 h 3154782"/>
            <a:gd name="connsiteX1" fmla="*/ 0 w 4536338"/>
            <a:gd name="connsiteY1" fmla="*/ 799089 h 3154782"/>
            <a:gd name="connsiteX2" fmla="*/ 1019175 w 4536338"/>
            <a:gd name="connsiteY2" fmla="*/ 8514 h 3154782"/>
            <a:gd name="connsiteX3" fmla="*/ 2314575 w 4536338"/>
            <a:gd name="connsiteY3" fmla="*/ 389514 h 3154782"/>
            <a:gd name="connsiteX4" fmla="*/ 2857500 w 4536338"/>
            <a:gd name="connsiteY4" fmla="*/ 532389 h 3154782"/>
            <a:gd name="connsiteX5" fmla="*/ 3771900 w 4536338"/>
            <a:gd name="connsiteY5" fmla="*/ 313314 h 3154782"/>
            <a:gd name="connsiteX6" fmla="*/ 4152900 w 4536338"/>
            <a:gd name="connsiteY6" fmla="*/ 999114 h 3154782"/>
            <a:gd name="connsiteX7" fmla="*/ 4457700 w 4536338"/>
            <a:gd name="connsiteY7" fmla="*/ 1408689 h 3154782"/>
            <a:gd name="connsiteX8" fmla="*/ 4514850 w 4536338"/>
            <a:gd name="connsiteY8" fmla="*/ 2351664 h 3154782"/>
            <a:gd name="connsiteX9" fmla="*/ 4505325 w 4536338"/>
            <a:gd name="connsiteY9" fmla="*/ 2656464 h 3154782"/>
            <a:gd name="connsiteX10" fmla="*/ 4162425 w 4536338"/>
            <a:gd name="connsiteY10" fmla="*/ 2913639 h 3154782"/>
            <a:gd name="connsiteX11" fmla="*/ 3219450 w 4536338"/>
            <a:gd name="connsiteY11" fmla="*/ 2751714 h 3154782"/>
            <a:gd name="connsiteX12" fmla="*/ 1962150 w 4536338"/>
            <a:gd name="connsiteY12" fmla="*/ 2866014 h 3154782"/>
            <a:gd name="connsiteX13" fmla="*/ 1276350 w 4536338"/>
            <a:gd name="connsiteY13" fmla="*/ 3151764 h 3154782"/>
            <a:gd name="connsiteX14" fmla="*/ 1047750 w 4536338"/>
            <a:gd name="connsiteY14" fmla="*/ 2665989 h 3154782"/>
            <a:gd name="connsiteX15" fmla="*/ 962025 w 4536338"/>
            <a:gd name="connsiteY15" fmla="*/ 2008764 h 3154782"/>
            <a:gd name="connsiteX16" fmla="*/ 405765 w 4536338"/>
            <a:gd name="connsiteY16" fmla="*/ 1662054 h 3154782"/>
            <a:gd name="connsiteX0" fmla="*/ 171449 w 4383938"/>
            <a:gd name="connsiteY0" fmla="*/ 1215882 h 3162000"/>
            <a:gd name="connsiteX1" fmla="*/ 0 w 4383938"/>
            <a:gd name="connsiteY1" fmla="*/ 987282 h 3162000"/>
            <a:gd name="connsiteX2" fmla="*/ 866775 w 4383938"/>
            <a:gd name="connsiteY2" fmla="*/ 15732 h 3162000"/>
            <a:gd name="connsiteX3" fmla="*/ 2162175 w 4383938"/>
            <a:gd name="connsiteY3" fmla="*/ 396732 h 3162000"/>
            <a:gd name="connsiteX4" fmla="*/ 2705100 w 4383938"/>
            <a:gd name="connsiteY4" fmla="*/ 539607 h 3162000"/>
            <a:gd name="connsiteX5" fmla="*/ 3619500 w 4383938"/>
            <a:gd name="connsiteY5" fmla="*/ 320532 h 3162000"/>
            <a:gd name="connsiteX6" fmla="*/ 4000500 w 4383938"/>
            <a:gd name="connsiteY6" fmla="*/ 1006332 h 3162000"/>
            <a:gd name="connsiteX7" fmla="*/ 4305300 w 4383938"/>
            <a:gd name="connsiteY7" fmla="*/ 1415907 h 3162000"/>
            <a:gd name="connsiteX8" fmla="*/ 4362450 w 4383938"/>
            <a:gd name="connsiteY8" fmla="*/ 2358882 h 3162000"/>
            <a:gd name="connsiteX9" fmla="*/ 4352925 w 4383938"/>
            <a:gd name="connsiteY9" fmla="*/ 2663682 h 3162000"/>
            <a:gd name="connsiteX10" fmla="*/ 4010025 w 4383938"/>
            <a:gd name="connsiteY10" fmla="*/ 2920857 h 3162000"/>
            <a:gd name="connsiteX11" fmla="*/ 3067050 w 4383938"/>
            <a:gd name="connsiteY11" fmla="*/ 2758932 h 3162000"/>
            <a:gd name="connsiteX12" fmla="*/ 1809750 w 4383938"/>
            <a:gd name="connsiteY12" fmla="*/ 2873232 h 3162000"/>
            <a:gd name="connsiteX13" fmla="*/ 1123950 w 4383938"/>
            <a:gd name="connsiteY13" fmla="*/ 3158982 h 3162000"/>
            <a:gd name="connsiteX14" fmla="*/ 895350 w 4383938"/>
            <a:gd name="connsiteY14" fmla="*/ 2673207 h 3162000"/>
            <a:gd name="connsiteX15" fmla="*/ 809625 w 4383938"/>
            <a:gd name="connsiteY15" fmla="*/ 2015982 h 3162000"/>
            <a:gd name="connsiteX16" fmla="*/ 253365 w 4383938"/>
            <a:gd name="connsiteY16" fmla="*/ 1669272 h 3162000"/>
            <a:gd name="connsiteX0" fmla="*/ 171449 w 4383938"/>
            <a:gd name="connsiteY0" fmla="*/ 1215580 h 3161698"/>
            <a:gd name="connsiteX1" fmla="*/ 0 w 4383938"/>
            <a:gd name="connsiteY1" fmla="*/ 986980 h 3161698"/>
            <a:gd name="connsiteX2" fmla="*/ 866775 w 4383938"/>
            <a:gd name="connsiteY2" fmla="*/ 15430 h 3161698"/>
            <a:gd name="connsiteX3" fmla="*/ 2162175 w 4383938"/>
            <a:gd name="connsiteY3" fmla="*/ 396430 h 3161698"/>
            <a:gd name="connsiteX4" fmla="*/ 3238500 w 4383938"/>
            <a:gd name="connsiteY4" fmla="*/ 482155 h 3161698"/>
            <a:gd name="connsiteX5" fmla="*/ 3619500 w 4383938"/>
            <a:gd name="connsiteY5" fmla="*/ 320230 h 3161698"/>
            <a:gd name="connsiteX6" fmla="*/ 4000500 w 4383938"/>
            <a:gd name="connsiteY6" fmla="*/ 1006030 h 3161698"/>
            <a:gd name="connsiteX7" fmla="*/ 4305300 w 4383938"/>
            <a:gd name="connsiteY7" fmla="*/ 1415605 h 3161698"/>
            <a:gd name="connsiteX8" fmla="*/ 4362450 w 4383938"/>
            <a:gd name="connsiteY8" fmla="*/ 2358580 h 3161698"/>
            <a:gd name="connsiteX9" fmla="*/ 4352925 w 4383938"/>
            <a:gd name="connsiteY9" fmla="*/ 2663380 h 3161698"/>
            <a:gd name="connsiteX10" fmla="*/ 4010025 w 4383938"/>
            <a:gd name="connsiteY10" fmla="*/ 2920555 h 3161698"/>
            <a:gd name="connsiteX11" fmla="*/ 3067050 w 4383938"/>
            <a:gd name="connsiteY11" fmla="*/ 2758630 h 3161698"/>
            <a:gd name="connsiteX12" fmla="*/ 1809750 w 4383938"/>
            <a:gd name="connsiteY12" fmla="*/ 2872930 h 3161698"/>
            <a:gd name="connsiteX13" fmla="*/ 1123950 w 4383938"/>
            <a:gd name="connsiteY13" fmla="*/ 3158680 h 3161698"/>
            <a:gd name="connsiteX14" fmla="*/ 895350 w 4383938"/>
            <a:gd name="connsiteY14" fmla="*/ 2672905 h 3161698"/>
            <a:gd name="connsiteX15" fmla="*/ 809625 w 4383938"/>
            <a:gd name="connsiteY15" fmla="*/ 2015680 h 3161698"/>
            <a:gd name="connsiteX16" fmla="*/ 253365 w 4383938"/>
            <a:gd name="connsiteY16" fmla="*/ 1668970 h 3161698"/>
            <a:gd name="connsiteX0" fmla="*/ 171449 w 4383938"/>
            <a:gd name="connsiteY0" fmla="*/ 1214135 h 3160253"/>
            <a:gd name="connsiteX1" fmla="*/ 0 w 4383938"/>
            <a:gd name="connsiteY1" fmla="*/ 985535 h 3160253"/>
            <a:gd name="connsiteX2" fmla="*/ 866775 w 4383938"/>
            <a:gd name="connsiteY2" fmla="*/ 13985 h 3160253"/>
            <a:gd name="connsiteX3" fmla="*/ 2162175 w 4383938"/>
            <a:gd name="connsiteY3" fmla="*/ 394985 h 3160253"/>
            <a:gd name="connsiteX4" fmla="*/ 2828924 w 4383938"/>
            <a:gd name="connsiteY4" fmla="*/ 175910 h 3160253"/>
            <a:gd name="connsiteX5" fmla="*/ 3238500 w 4383938"/>
            <a:gd name="connsiteY5" fmla="*/ 480710 h 3160253"/>
            <a:gd name="connsiteX6" fmla="*/ 3619500 w 4383938"/>
            <a:gd name="connsiteY6" fmla="*/ 318785 h 3160253"/>
            <a:gd name="connsiteX7" fmla="*/ 4000500 w 4383938"/>
            <a:gd name="connsiteY7" fmla="*/ 1004585 h 3160253"/>
            <a:gd name="connsiteX8" fmla="*/ 4305300 w 4383938"/>
            <a:gd name="connsiteY8" fmla="*/ 1414160 h 3160253"/>
            <a:gd name="connsiteX9" fmla="*/ 4362450 w 4383938"/>
            <a:gd name="connsiteY9" fmla="*/ 2357135 h 3160253"/>
            <a:gd name="connsiteX10" fmla="*/ 4352925 w 4383938"/>
            <a:gd name="connsiteY10" fmla="*/ 2661935 h 3160253"/>
            <a:gd name="connsiteX11" fmla="*/ 4010025 w 4383938"/>
            <a:gd name="connsiteY11" fmla="*/ 2919110 h 3160253"/>
            <a:gd name="connsiteX12" fmla="*/ 3067050 w 4383938"/>
            <a:gd name="connsiteY12" fmla="*/ 2757185 h 3160253"/>
            <a:gd name="connsiteX13" fmla="*/ 1809750 w 4383938"/>
            <a:gd name="connsiteY13" fmla="*/ 2871485 h 3160253"/>
            <a:gd name="connsiteX14" fmla="*/ 1123950 w 4383938"/>
            <a:gd name="connsiteY14" fmla="*/ 3157235 h 3160253"/>
            <a:gd name="connsiteX15" fmla="*/ 895350 w 4383938"/>
            <a:gd name="connsiteY15" fmla="*/ 2671460 h 3160253"/>
            <a:gd name="connsiteX16" fmla="*/ 809625 w 4383938"/>
            <a:gd name="connsiteY16" fmla="*/ 2014235 h 3160253"/>
            <a:gd name="connsiteX17" fmla="*/ 253365 w 4383938"/>
            <a:gd name="connsiteY17" fmla="*/ 1667525 h 3160253"/>
            <a:gd name="connsiteX0" fmla="*/ 171449 w 4383938"/>
            <a:gd name="connsiteY0" fmla="*/ 1214135 h 3160253"/>
            <a:gd name="connsiteX1" fmla="*/ 0 w 4383938"/>
            <a:gd name="connsiteY1" fmla="*/ 985535 h 3160253"/>
            <a:gd name="connsiteX2" fmla="*/ 866775 w 4383938"/>
            <a:gd name="connsiteY2" fmla="*/ 13985 h 3160253"/>
            <a:gd name="connsiteX3" fmla="*/ 2162175 w 4383938"/>
            <a:gd name="connsiteY3" fmla="*/ 394985 h 3160253"/>
            <a:gd name="connsiteX4" fmla="*/ 2828924 w 4383938"/>
            <a:gd name="connsiteY4" fmla="*/ 175910 h 3160253"/>
            <a:gd name="connsiteX5" fmla="*/ 3238500 w 4383938"/>
            <a:gd name="connsiteY5" fmla="*/ 480710 h 3160253"/>
            <a:gd name="connsiteX6" fmla="*/ 3619500 w 4383938"/>
            <a:gd name="connsiteY6" fmla="*/ 318785 h 3160253"/>
            <a:gd name="connsiteX7" fmla="*/ 4000500 w 4383938"/>
            <a:gd name="connsiteY7" fmla="*/ 1004585 h 3160253"/>
            <a:gd name="connsiteX8" fmla="*/ 4305300 w 4383938"/>
            <a:gd name="connsiteY8" fmla="*/ 1414160 h 3160253"/>
            <a:gd name="connsiteX9" fmla="*/ 4362450 w 4383938"/>
            <a:gd name="connsiteY9" fmla="*/ 2357135 h 3160253"/>
            <a:gd name="connsiteX10" fmla="*/ 4352925 w 4383938"/>
            <a:gd name="connsiteY10" fmla="*/ 2661935 h 3160253"/>
            <a:gd name="connsiteX11" fmla="*/ 4010025 w 4383938"/>
            <a:gd name="connsiteY11" fmla="*/ 2919110 h 3160253"/>
            <a:gd name="connsiteX12" fmla="*/ 3067050 w 4383938"/>
            <a:gd name="connsiteY12" fmla="*/ 2757185 h 3160253"/>
            <a:gd name="connsiteX13" fmla="*/ 1809750 w 4383938"/>
            <a:gd name="connsiteY13" fmla="*/ 2871485 h 3160253"/>
            <a:gd name="connsiteX14" fmla="*/ 1123950 w 4383938"/>
            <a:gd name="connsiteY14" fmla="*/ 3157235 h 3160253"/>
            <a:gd name="connsiteX15" fmla="*/ 895350 w 4383938"/>
            <a:gd name="connsiteY15" fmla="*/ 2671460 h 3160253"/>
            <a:gd name="connsiteX16" fmla="*/ 809625 w 4383938"/>
            <a:gd name="connsiteY16" fmla="*/ 2014235 h 3160253"/>
            <a:gd name="connsiteX17" fmla="*/ 253365 w 4383938"/>
            <a:gd name="connsiteY17" fmla="*/ 1667525 h 3160253"/>
            <a:gd name="connsiteX0" fmla="*/ 171449 w 4383938"/>
            <a:gd name="connsiteY0" fmla="*/ 1214135 h 3160253"/>
            <a:gd name="connsiteX1" fmla="*/ 0 w 4383938"/>
            <a:gd name="connsiteY1" fmla="*/ 985535 h 3160253"/>
            <a:gd name="connsiteX2" fmla="*/ 866775 w 4383938"/>
            <a:gd name="connsiteY2" fmla="*/ 13985 h 3160253"/>
            <a:gd name="connsiteX3" fmla="*/ 2162175 w 4383938"/>
            <a:gd name="connsiteY3" fmla="*/ 394985 h 3160253"/>
            <a:gd name="connsiteX4" fmla="*/ 2828924 w 4383938"/>
            <a:gd name="connsiteY4" fmla="*/ 175910 h 3160253"/>
            <a:gd name="connsiteX5" fmla="*/ 3047999 w 4383938"/>
            <a:gd name="connsiteY5" fmla="*/ 385460 h 3160253"/>
            <a:gd name="connsiteX6" fmla="*/ 3238500 w 4383938"/>
            <a:gd name="connsiteY6" fmla="*/ 480710 h 3160253"/>
            <a:gd name="connsiteX7" fmla="*/ 3619500 w 4383938"/>
            <a:gd name="connsiteY7" fmla="*/ 318785 h 3160253"/>
            <a:gd name="connsiteX8" fmla="*/ 4000500 w 4383938"/>
            <a:gd name="connsiteY8" fmla="*/ 1004585 h 3160253"/>
            <a:gd name="connsiteX9" fmla="*/ 4305300 w 4383938"/>
            <a:gd name="connsiteY9" fmla="*/ 1414160 h 3160253"/>
            <a:gd name="connsiteX10" fmla="*/ 4362450 w 4383938"/>
            <a:gd name="connsiteY10" fmla="*/ 2357135 h 3160253"/>
            <a:gd name="connsiteX11" fmla="*/ 4352925 w 4383938"/>
            <a:gd name="connsiteY11" fmla="*/ 2661935 h 3160253"/>
            <a:gd name="connsiteX12" fmla="*/ 4010025 w 4383938"/>
            <a:gd name="connsiteY12" fmla="*/ 2919110 h 3160253"/>
            <a:gd name="connsiteX13" fmla="*/ 3067050 w 4383938"/>
            <a:gd name="connsiteY13" fmla="*/ 2757185 h 3160253"/>
            <a:gd name="connsiteX14" fmla="*/ 1809750 w 4383938"/>
            <a:gd name="connsiteY14" fmla="*/ 2871485 h 3160253"/>
            <a:gd name="connsiteX15" fmla="*/ 1123950 w 4383938"/>
            <a:gd name="connsiteY15" fmla="*/ 3157235 h 3160253"/>
            <a:gd name="connsiteX16" fmla="*/ 895350 w 4383938"/>
            <a:gd name="connsiteY16" fmla="*/ 2671460 h 3160253"/>
            <a:gd name="connsiteX17" fmla="*/ 809625 w 4383938"/>
            <a:gd name="connsiteY17" fmla="*/ 2014235 h 3160253"/>
            <a:gd name="connsiteX18" fmla="*/ 253365 w 4383938"/>
            <a:gd name="connsiteY18" fmla="*/ 1667525 h 316025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</a:cxnLst>
          <a:rect l="l" t="t" r="r" b="b"/>
          <a:pathLst>
            <a:path w="4383938" h="3160253">
              <a:moveTo>
                <a:pt x="171449" y="1214135"/>
              </a:moveTo>
              <a:lnTo>
                <a:pt x="0" y="985535"/>
              </a:lnTo>
              <a:cubicBezTo>
                <a:pt x="115888" y="785510"/>
                <a:pt x="506412" y="112410"/>
                <a:pt x="866775" y="13985"/>
              </a:cubicBezTo>
              <a:cubicBezTo>
                <a:pt x="1227138" y="-84440"/>
                <a:pt x="1835150" y="367998"/>
                <a:pt x="2162175" y="394985"/>
              </a:cubicBezTo>
              <a:cubicBezTo>
                <a:pt x="2489200" y="421972"/>
                <a:pt x="2678112" y="182260"/>
                <a:pt x="2828924" y="175910"/>
              </a:cubicBezTo>
              <a:cubicBezTo>
                <a:pt x="2908299" y="236235"/>
                <a:pt x="2968624" y="325135"/>
                <a:pt x="3047999" y="385460"/>
              </a:cubicBezTo>
              <a:cubicBezTo>
                <a:pt x="3111499" y="417210"/>
                <a:pt x="3143250" y="491822"/>
                <a:pt x="3238500" y="480710"/>
              </a:cubicBezTo>
              <a:cubicBezTo>
                <a:pt x="3333750" y="469598"/>
                <a:pt x="3492500" y="231473"/>
                <a:pt x="3619500" y="318785"/>
              </a:cubicBezTo>
              <a:cubicBezTo>
                <a:pt x="3746500" y="406098"/>
                <a:pt x="3886200" y="822022"/>
                <a:pt x="4000500" y="1004585"/>
              </a:cubicBezTo>
              <a:cubicBezTo>
                <a:pt x="4114800" y="1187147"/>
                <a:pt x="4244975" y="1188735"/>
                <a:pt x="4305300" y="1414160"/>
              </a:cubicBezTo>
              <a:cubicBezTo>
                <a:pt x="4365625" y="1639585"/>
                <a:pt x="4354513" y="2149172"/>
                <a:pt x="4362450" y="2357135"/>
              </a:cubicBezTo>
              <a:cubicBezTo>
                <a:pt x="4370388" y="2565098"/>
                <a:pt x="4411662" y="2568273"/>
                <a:pt x="4352925" y="2661935"/>
              </a:cubicBezTo>
              <a:cubicBezTo>
                <a:pt x="4294188" y="2755597"/>
                <a:pt x="4224338" y="2903235"/>
                <a:pt x="4010025" y="2919110"/>
              </a:cubicBezTo>
              <a:cubicBezTo>
                <a:pt x="3795712" y="2934985"/>
                <a:pt x="3433762" y="2765122"/>
                <a:pt x="3067050" y="2757185"/>
              </a:cubicBezTo>
              <a:cubicBezTo>
                <a:pt x="2700338" y="2749248"/>
                <a:pt x="2133600" y="2804810"/>
                <a:pt x="1809750" y="2871485"/>
              </a:cubicBezTo>
              <a:cubicBezTo>
                <a:pt x="1485900" y="2938160"/>
                <a:pt x="1276350" y="3190572"/>
                <a:pt x="1123950" y="3157235"/>
              </a:cubicBezTo>
              <a:cubicBezTo>
                <a:pt x="971550" y="3123898"/>
                <a:pt x="947737" y="2861960"/>
                <a:pt x="895350" y="2671460"/>
              </a:cubicBezTo>
              <a:cubicBezTo>
                <a:pt x="842962" y="2480960"/>
                <a:pt x="916623" y="2181558"/>
                <a:pt x="809625" y="2014235"/>
              </a:cubicBezTo>
              <a:cubicBezTo>
                <a:pt x="702628" y="1846913"/>
                <a:pt x="268288" y="1709435"/>
                <a:pt x="253365" y="1667525"/>
              </a:cubicBezTo>
            </a:path>
          </a:pathLst>
        </a:custGeom>
        <a:noFill xmlns:a="http://schemas.openxmlformats.org/drawingml/2006/main"/>
        <a:ln xmlns:a="http://schemas.openxmlformats.org/drawingml/2006/main" w="38100">
          <a:solidFill>
            <a:srgbClr val="FF0000"/>
          </a:solidFill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0.11125</cdr:x>
      <cdr:y>0.32321</cdr:y>
    </cdr:from>
    <cdr:to>
      <cdr:x>0.19036</cdr:x>
      <cdr:y>0.34346</cdr:y>
    </cdr:to>
    <cdr:cxnSp macro="">
      <cdr:nvCxnSpPr>
        <cdr:cNvPr id="70" name="Straight Connector 69">
          <a:extLst xmlns:a="http://schemas.openxmlformats.org/drawingml/2006/main">
            <a:ext uri="{FF2B5EF4-FFF2-40B4-BE49-F238E27FC236}">
              <a16:creationId xmlns:a16="http://schemas.microsoft.com/office/drawing/2014/main" id="{47CA0DFA-283F-4227-8F7C-558223695CCD}"/>
            </a:ext>
          </a:extLst>
        </cdr:cNvPr>
        <cdr:cNvCxnSpPr/>
      </cdr:nvCxnSpPr>
      <cdr:spPr>
        <a:xfrm xmlns:a="http://schemas.openxmlformats.org/drawingml/2006/main" flipH="1" flipV="1">
          <a:off x="857251" y="1419225"/>
          <a:ext cx="609624" cy="88900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0.1644</cdr:x>
      <cdr:y>0.76573</cdr:y>
    </cdr:from>
    <cdr:to>
      <cdr:x>0.28307</cdr:x>
      <cdr:y>0.78597</cdr:y>
    </cdr:to>
    <cdr:cxnSp macro="">
      <cdr:nvCxnSpPr>
        <cdr:cNvPr id="72" name="Straight Connector 71">
          <a:extLst xmlns:a="http://schemas.openxmlformats.org/drawingml/2006/main">
            <a:ext uri="{FF2B5EF4-FFF2-40B4-BE49-F238E27FC236}">
              <a16:creationId xmlns:a16="http://schemas.microsoft.com/office/drawing/2014/main" id="{5C7C42F5-62E9-482C-B433-91BD5EDD1704}"/>
            </a:ext>
          </a:extLst>
        </cdr:cNvPr>
        <cdr:cNvCxnSpPr/>
      </cdr:nvCxnSpPr>
      <cdr:spPr>
        <a:xfrm xmlns:a="http://schemas.openxmlformats.org/drawingml/2006/main" flipH="1" flipV="1">
          <a:off x="1266826" y="3362325"/>
          <a:ext cx="914424" cy="88901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0.4145</cdr:x>
      <cdr:y>0.83009</cdr:y>
    </cdr:from>
    <cdr:to>
      <cdr:x>0.56242</cdr:x>
      <cdr:y>0.9154</cdr:y>
    </cdr:to>
    <cdr:cxnSp macro="">
      <cdr:nvCxnSpPr>
        <cdr:cNvPr id="74" name="Straight Connector 73">
          <a:extLst xmlns:a="http://schemas.openxmlformats.org/drawingml/2006/main">
            <a:ext uri="{FF2B5EF4-FFF2-40B4-BE49-F238E27FC236}">
              <a16:creationId xmlns:a16="http://schemas.microsoft.com/office/drawing/2014/main" id="{0B23F331-44D0-46C8-9EDF-4DDDFD815FD1}"/>
            </a:ext>
          </a:extLst>
        </cdr:cNvPr>
        <cdr:cNvCxnSpPr/>
      </cdr:nvCxnSpPr>
      <cdr:spPr>
        <a:xfrm xmlns:a="http://schemas.openxmlformats.org/drawingml/2006/main" flipH="1" flipV="1">
          <a:off x="3194050" y="3644937"/>
          <a:ext cx="1139826" cy="374613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0.73712</cdr:x>
      <cdr:y>0.7867</cdr:y>
    </cdr:from>
    <cdr:to>
      <cdr:x>0.77874</cdr:x>
      <cdr:y>0.90456</cdr:y>
    </cdr:to>
    <cdr:cxnSp macro="">
      <cdr:nvCxnSpPr>
        <cdr:cNvPr id="76" name="Straight Connector 75">
          <a:extLst xmlns:a="http://schemas.openxmlformats.org/drawingml/2006/main">
            <a:ext uri="{FF2B5EF4-FFF2-40B4-BE49-F238E27FC236}">
              <a16:creationId xmlns:a16="http://schemas.microsoft.com/office/drawing/2014/main" id="{274BC790-0A08-45F6-8478-BCD808FD9BAE}"/>
            </a:ext>
          </a:extLst>
        </cdr:cNvPr>
        <cdr:cNvCxnSpPr/>
      </cdr:nvCxnSpPr>
      <cdr:spPr>
        <a:xfrm xmlns:a="http://schemas.openxmlformats.org/drawingml/2006/main" flipH="1" flipV="1">
          <a:off x="5680075" y="3454438"/>
          <a:ext cx="320676" cy="517487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0.74083</cdr:x>
      <cdr:y>0.64347</cdr:y>
    </cdr:from>
    <cdr:to>
      <cdr:x>0.79514</cdr:x>
      <cdr:y>0.71729</cdr:y>
    </cdr:to>
    <cdr:cxnSp macro="">
      <cdr:nvCxnSpPr>
        <cdr:cNvPr id="78" name="Straight Connector 77">
          <a:extLst xmlns:a="http://schemas.openxmlformats.org/drawingml/2006/main">
            <a:ext uri="{FF2B5EF4-FFF2-40B4-BE49-F238E27FC236}">
              <a16:creationId xmlns:a16="http://schemas.microsoft.com/office/drawing/2014/main" id="{8DA4B020-389D-4C27-804A-7A5FBC976978}"/>
            </a:ext>
          </a:extLst>
        </cdr:cNvPr>
        <cdr:cNvCxnSpPr/>
      </cdr:nvCxnSpPr>
      <cdr:spPr>
        <a:xfrm xmlns:a="http://schemas.openxmlformats.org/drawingml/2006/main" flipH="1">
          <a:off x="6848864" y="3440907"/>
          <a:ext cx="502056" cy="394724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0.69262</cdr:x>
      <cdr:y>0.34707</cdr:y>
    </cdr:from>
    <cdr:to>
      <cdr:x>0.75278</cdr:x>
      <cdr:y>0.41143</cdr:y>
    </cdr:to>
    <cdr:cxnSp macro="">
      <cdr:nvCxnSpPr>
        <cdr:cNvPr id="79" name="Straight Connector 78">
          <a:extLst xmlns:a="http://schemas.openxmlformats.org/drawingml/2006/main">
            <a:ext uri="{FF2B5EF4-FFF2-40B4-BE49-F238E27FC236}">
              <a16:creationId xmlns:a16="http://schemas.microsoft.com/office/drawing/2014/main" id="{68EC4961-A691-448B-8CA1-1440B94CD12A}"/>
            </a:ext>
          </a:extLst>
        </cdr:cNvPr>
        <cdr:cNvCxnSpPr/>
      </cdr:nvCxnSpPr>
      <cdr:spPr>
        <a:xfrm xmlns:a="http://schemas.openxmlformats.org/drawingml/2006/main" flipH="1">
          <a:off x="5337175" y="1524000"/>
          <a:ext cx="463551" cy="282612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0.43387</cdr:x>
      <cdr:y>0.15184</cdr:y>
    </cdr:from>
    <cdr:to>
      <cdr:x>0.45282</cdr:x>
      <cdr:y>0.2726</cdr:y>
    </cdr:to>
    <cdr:cxnSp macro="">
      <cdr:nvCxnSpPr>
        <cdr:cNvPr id="82" name="Straight Connector 81">
          <a:extLst xmlns:a="http://schemas.openxmlformats.org/drawingml/2006/main">
            <a:ext uri="{FF2B5EF4-FFF2-40B4-BE49-F238E27FC236}">
              <a16:creationId xmlns:a16="http://schemas.microsoft.com/office/drawing/2014/main" id="{38804CFF-2962-40EE-8DD9-090C739E5F5C}"/>
            </a:ext>
          </a:extLst>
        </cdr:cNvPr>
        <cdr:cNvCxnSpPr/>
      </cdr:nvCxnSpPr>
      <cdr:spPr>
        <a:xfrm xmlns:a="http://schemas.openxmlformats.org/drawingml/2006/main">
          <a:off x="3343276" y="666750"/>
          <a:ext cx="146049" cy="530262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0.15822</cdr:x>
      <cdr:y>0.07809</cdr:y>
    </cdr:from>
    <cdr:to>
      <cdr:x>0.25216</cdr:x>
      <cdr:y>0.14534</cdr:y>
    </cdr:to>
    <cdr:sp macro="" textlink="">
      <cdr:nvSpPr>
        <cdr:cNvPr id="65" name="TextBox 64"/>
        <cdr:cNvSpPr txBox="1"/>
      </cdr:nvSpPr>
      <cdr:spPr>
        <a:xfrm xmlns:a="http://schemas.openxmlformats.org/drawingml/2006/main">
          <a:off x="1219200" y="342900"/>
          <a:ext cx="723901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2</a:t>
          </a:r>
          <a:endParaRPr lang="en-GB" sz="1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0.7988</cdr:x>
      <cdr:y>0.92574</cdr:y>
    </cdr:from>
    <cdr:to>
      <cdr:x>0.89274</cdr:x>
      <cdr:y>0.99299</cdr:y>
    </cdr:to>
    <cdr:sp macro="" textlink="">
      <cdr:nvSpPr>
        <cdr:cNvPr id="95" name="TextBox 1"/>
        <cdr:cNvSpPr txBox="1"/>
      </cdr:nvSpPr>
      <cdr:spPr>
        <a:xfrm xmlns:a="http://schemas.openxmlformats.org/drawingml/2006/main">
          <a:off x="7357939" y="4946419"/>
          <a:ext cx="865303" cy="359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3</a:t>
          </a:r>
          <a:endParaRPr lang="en-GB" sz="1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0.13638</cdr:x>
      <cdr:y>0.68185</cdr:y>
    </cdr:from>
    <cdr:to>
      <cdr:x>0.23033</cdr:x>
      <cdr:y>0.7491</cdr:y>
    </cdr:to>
    <cdr:sp macro="" textlink="">
      <cdr:nvSpPr>
        <cdr:cNvPr id="98" name="TextBox 1"/>
        <cdr:cNvSpPr txBox="1"/>
      </cdr:nvSpPr>
      <cdr:spPr>
        <a:xfrm xmlns:a="http://schemas.openxmlformats.org/drawingml/2006/main">
          <a:off x="1050925" y="2994025"/>
          <a:ext cx="723901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600" b="1">
              <a:solidFill>
                <a:srgbClr val="FF0000"/>
              </a:solidFill>
            </a:rPr>
            <a:t>EEZ</a:t>
          </a:r>
          <a:r>
            <a:rPr lang="en-GB" sz="1600" b="1" baseline="0">
              <a:solidFill>
                <a:srgbClr val="FF0000"/>
              </a:solidFill>
            </a:rPr>
            <a:t> 4</a:t>
          </a:r>
          <a:endParaRPr lang="en-GB" sz="16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0.2225</cdr:x>
      <cdr:y>0.90022</cdr:y>
    </cdr:from>
    <cdr:to>
      <cdr:x>0.32138</cdr:x>
      <cdr:y>0.97397</cdr:y>
    </cdr:to>
    <cdr:sp macro="" textlink="">
      <cdr:nvSpPr>
        <cdr:cNvPr id="68" name="Freeform 67"/>
        <cdr:cNvSpPr/>
      </cdr:nvSpPr>
      <cdr:spPr>
        <a:xfrm xmlns:a="http://schemas.openxmlformats.org/drawingml/2006/main">
          <a:off x="1714501" y="3952875"/>
          <a:ext cx="762000" cy="323850"/>
        </a:xfrm>
        <a:custGeom xmlns:a="http://schemas.openxmlformats.org/drawingml/2006/main">
          <a:avLst/>
          <a:gdLst>
            <a:gd name="connsiteX0" fmla="*/ 762000 w 762000"/>
            <a:gd name="connsiteY0" fmla="*/ 0 h 323850"/>
            <a:gd name="connsiteX1" fmla="*/ 190500 w 762000"/>
            <a:gd name="connsiteY1" fmla="*/ 171450 h 323850"/>
            <a:gd name="connsiteX2" fmla="*/ 0 w 762000"/>
            <a:gd name="connsiteY2" fmla="*/ 323850 h 3238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762000" h="323850">
              <a:moveTo>
                <a:pt x="762000" y="0"/>
              </a:moveTo>
              <a:cubicBezTo>
                <a:pt x="539750" y="58737"/>
                <a:pt x="317500" y="117475"/>
                <a:pt x="190500" y="171450"/>
              </a:cubicBezTo>
              <a:cubicBezTo>
                <a:pt x="63500" y="225425"/>
                <a:pt x="31750" y="274637"/>
                <a:pt x="0" y="323850"/>
              </a:cubicBezTo>
            </a:path>
          </a:pathLst>
        </a:custGeom>
        <a:noFill xmlns:a="http://schemas.openxmlformats.org/drawingml/2006/main"/>
        <a:ln xmlns:a="http://schemas.openxmlformats.org/drawingml/2006/main" w="38100">
          <a:solidFill>
            <a:srgbClr val="FF0000"/>
          </a:solidFill>
          <a:prstDash val="solid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0.28612</cdr:x>
      <cdr:y>0.41721</cdr:y>
    </cdr:from>
    <cdr:to>
      <cdr:x>0.35863</cdr:x>
      <cdr:y>0.47144</cdr:y>
    </cdr:to>
    <cdr:sp macro="" textlink="">
      <cdr:nvSpPr>
        <cdr:cNvPr id="106" name="TextBox 1"/>
        <cdr:cNvSpPr txBox="1"/>
      </cdr:nvSpPr>
      <cdr:spPr>
        <a:xfrm xmlns:a="http://schemas.openxmlformats.org/drawingml/2006/main">
          <a:off x="2635529" y="2215207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√29 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0.31685</cdr:x>
      <cdr:y>0.51048</cdr:y>
    </cdr:from>
    <cdr:to>
      <cdr:x>0.38936</cdr:x>
      <cdr:y>0.56471</cdr:y>
    </cdr:to>
    <cdr:sp macro="" textlink="">
      <cdr:nvSpPr>
        <cdr:cNvPr id="107" name="TextBox 1"/>
        <cdr:cNvSpPr txBox="1"/>
      </cdr:nvSpPr>
      <cdr:spPr>
        <a:xfrm xmlns:a="http://schemas.openxmlformats.org/drawingml/2006/main">
          <a:off x="2441575" y="224155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0.31191</cdr:x>
      <cdr:y>0.68836</cdr:y>
    </cdr:from>
    <cdr:to>
      <cdr:x>0.38442</cdr:x>
      <cdr:y>0.74259</cdr:y>
    </cdr:to>
    <cdr:sp macro="" textlink="">
      <cdr:nvSpPr>
        <cdr:cNvPr id="108" name="TextBox 1"/>
        <cdr:cNvSpPr txBox="1"/>
      </cdr:nvSpPr>
      <cdr:spPr>
        <a:xfrm xmlns:a="http://schemas.openxmlformats.org/drawingml/2006/main">
          <a:off x="2403475" y="302260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√68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0.31438</cdr:x>
      <cdr:y>0.80333</cdr:y>
    </cdr:from>
    <cdr:to>
      <cdr:x>0.38689</cdr:x>
      <cdr:y>0.85756</cdr:y>
    </cdr:to>
    <cdr:sp macro="" textlink="">
      <cdr:nvSpPr>
        <cdr:cNvPr id="109" name="TextBox 1"/>
        <cdr:cNvSpPr txBox="1"/>
      </cdr:nvSpPr>
      <cdr:spPr>
        <a:xfrm xmlns:a="http://schemas.openxmlformats.org/drawingml/2006/main">
          <a:off x="2422525" y="3527425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√29 </a:t>
          </a:r>
          <a:endParaRPr lang="en-GB" sz="800" i="1"/>
        </a:p>
      </cdr:txBody>
    </cdr:sp>
  </cdr:relSizeAnchor>
  <cdr:relSizeAnchor xmlns:cdr="http://schemas.openxmlformats.org/drawingml/2006/chartDrawing">
    <cdr:from>
      <cdr:x>0.39225</cdr:x>
      <cdr:y>0.38467</cdr:y>
    </cdr:from>
    <cdr:to>
      <cdr:x>0.46476</cdr:x>
      <cdr:y>0.4389</cdr:y>
    </cdr:to>
    <cdr:sp macro="" textlink="">
      <cdr:nvSpPr>
        <cdr:cNvPr id="110" name="TextBox 1"/>
        <cdr:cNvSpPr txBox="1"/>
      </cdr:nvSpPr>
      <cdr:spPr>
        <a:xfrm xmlns:a="http://schemas.openxmlformats.org/drawingml/2006/main">
          <a:off x="3022600" y="168910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√85 </a:t>
          </a:r>
          <a:endParaRPr lang="en-GB" sz="800" i="1"/>
        </a:p>
      </cdr:txBody>
    </cdr:sp>
  </cdr:relSizeAnchor>
  <cdr:relSizeAnchor xmlns:cdr="http://schemas.openxmlformats.org/drawingml/2006/chartDrawing">
    <cdr:from>
      <cdr:x>0.47507</cdr:x>
      <cdr:y>0.39769</cdr:y>
    </cdr:from>
    <cdr:to>
      <cdr:x>0.54758</cdr:x>
      <cdr:y>0.45192</cdr:y>
    </cdr:to>
    <cdr:sp macro="" textlink="">
      <cdr:nvSpPr>
        <cdr:cNvPr id="111" name="TextBox 1"/>
        <cdr:cNvSpPr txBox="1"/>
      </cdr:nvSpPr>
      <cdr:spPr>
        <a:xfrm xmlns:a="http://schemas.openxmlformats.org/drawingml/2006/main">
          <a:off x="3660775" y="174625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√80 </a:t>
          </a:r>
          <a:endParaRPr lang="en-GB" sz="800" i="1"/>
        </a:p>
      </cdr:txBody>
    </cdr:sp>
  </cdr:relSizeAnchor>
  <cdr:relSizeAnchor xmlns:cdr="http://schemas.openxmlformats.org/drawingml/2006/chartDrawing">
    <cdr:from>
      <cdr:x>0.52234</cdr:x>
      <cdr:y>0.44505</cdr:y>
    </cdr:from>
    <cdr:to>
      <cdr:x>0.59485</cdr:x>
      <cdr:y>0.49928</cdr:y>
    </cdr:to>
    <cdr:sp macro="" textlink="">
      <cdr:nvSpPr>
        <cdr:cNvPr id="112" name="TextBox 1"/>
        <cdr:cNvSpPr txBox="1"/>
      </cdr:nvSpPr>
      <cdr:spPr>
        <a:xfrm xmlns:a="http://schemas.openxmlformats.org/drawingml/2006/main">
          <a:off x="4811413" y="2363041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√32 </a:t>
          </a:r>
          <a:endParaRPr lang="en-GB" sz="800" i="1"/>
        </a:p>
      </cdr:txBody>
    </cdr:sp>
  </cdr:relSizeAnchor>
  <cdr:relSizeAnchor xmlns:cdr="http://schemas.openxmlformats.org/drawingml/2006/chartDrawing">
    <cdr:from>
      <cdr:x>0.80883</cdr:x>
      <cdr:y>0.30039</cdr:y>
    </cdr:from>
    <cdr:to>
      <cdr:x>0.94603</cdr:x>
      <cdr:y>0.35462</cdr:y>
    </cdr:to>
    <cdr:sp macro="" textlink="">
      <cdr:nvSpPr>
        <cdr:cNvPr id="113" name="TextBox 1"/>
        <cdr:cNvSpPr txBox="1"/>
      </cdr:nvSpPr>
      <cdr:spPr>
        <a:xfrm xmlns:a="http://schemas.openxmlformats.org/drawingml/2006/main">
          <a:off x="7477548" y="1606302"/>
          <a:ext cx="1268394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‖GS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√10/3 </a:t>
          </a:r>
          <a:endParaRPr lang="en-GB" sz="800" i="1"/>
        </a:p>
      </cdr:txBody>
    </cdr:sp>
  </cdr:relSizeAnchor>
  <cdr:relSizeAnchor xmlns:cdr="http://schemas.openxmlformats.org/drawingml/2006/chartDrawing">
    <cdr:from>
      <cdr:x>0.60541</cdr:x>
      <cdr:y>0.28881</cdr:y>
    </cdr:from>
    <cdr:to>
      <cdr:x>0.68204</cdr:x>
      <cdr:y>0.34304</cdr:y>
    </cdr:to>
    <cdr:sp macro="" textlink="">
      <cdr:nvSpPr>
        <cdr:cNvPr id="114" name="TextBox 1"/>
        <cdr:cNvSpPr txBox="1"/>
      </cdr:nvSpPr>
      <cdr:spPr>
        <a:xfrm xmlns:a="http://schemas.openxmlformats.org/drawingml/2006/main">
          <a:off x="5576589" y="1533476"/>
          <a:ext cx="70585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23/3 </a:t>
          </a:r>
        </a:p>
      </cdr:txBody>
    </cdr:sp>
  </cdr:relSizeAnchor>
  <cdr:relSizeAnchor xmlns:cdr="http://schemas.openxmlformats.org/drawingml/2006/chartDrawing">
    <cdr:from>
      <cdr:x>0.79856</cdr:x>
      <cdr:y>0.4499</cdr:y>
    </cdr:from>
    <cdr:to>
      <cdr:x>0.93576</cdr:x>
      <cdr:y>0.50413</cdr:y>
    </cdr:to>
    <cdr:sp macro="" textlink="">
      <cdr:nvSpPr>
        <cdr:cNvPr id="115" name="TextBox 1"/>
        <cdr:cNvSpPr txBox="1"/>
      </cdr:nvSpPr>
      <cdr:spPr>
        <a:xfrm xmlns:a="http://schemas.openxmlformats.org/drawingml/2006/main">
          <a:off x="7382606" y="2405797"/>
          <a:ext cx="1268394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‖SM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2√10/3 </a:t>
          </a:r>
          <a:endParaRPr lang="en-GB" sz="800" i="1"/>
        </a:p>
      </cdr:txBody>
    </cdr:sp>
  </cdr:relSizeAnchor>
  <cdr:relSizeAnchor xmlns:cdr="http://schemas.openxmlformats.org/drawingml/2006/chartDrawing">
    <cdr:from>
      <cdr:x>0.65566</cdr:x>
      <cdr:y>0.43058</cdr:y>
    </cdr:from>
    <cdr:to>
      <cdr:x>0.72817</cdr:x>
      <cdr:y>0.48481</cdr:y>
    </cdr:to>
    <cdr:sp macro="" textlink="">
      <cdr:nvSpPr>
        <cdr:cNvPr id="116" name="TextBox 1"/>
        <cdr:cNvSpPr txBox="1"/>
      </cdr:nvSpPr>
      <cdr:spPr>
        <a:xfrm xmlns:a="http://schemas.openxmlformats.org/drawingml/2006/main">
          <a:off x="6039445" y="2286179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√29 </a:t>
          </a:r>
          <a:endParaRPr lang="en-GB" sz="1000" b="1" i="1">
            <a:solidFill>
              <a:srgbClr val="FF0000"/>
            </a:solidFill>
          </a:endParaRP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0.90589</cdr:x>
      <cdr:y>0.34957</cdr:y>
    </cdr:from>
    <cdr:to>
      <cdr:x>1</cdr:x>
      <cdr:y>0.40025</cdr:y>
    </cdr:to>
    <cdr:sp macro="" textlink="">
      <cdr:nvSpPr>
        <cdr:cNvPr id="117" name="TextBox 1"/>
        <cdr:cNvSpPr txBox="1"/>
      </cdr:nvSpPr>
      <cdr:spPr>
        <a:xfrm xmlns:a="http://schemas.openxmlformats.org/drawingml/2006/main">
          <a:off x="8374857" y="1869281"/>
          <a:ext cx="869996" cy="2709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‖SO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13/3 </a:t>
          </a:r>
          <a:endParaRPr lang="en-GB" sz="800" i="1"/>
        </a:p>
      </cdr:txBody>
    </cdr:sp>
  </cdr:relSizeAnchor>
  <cdr:relSizeAnchor xmlns:cdr="http://schemas.openxmlformats.org/drawingml/2006/chartDrawing">
    <cdr:from>
      <cdr:x>0.80256</cdr:x>
      <cdr:y>0.34519</cdr:y>
    </cdr:from>
    <cdr:to>
      <cdr:x>0.93977</cdr:x>
      <cdr:y>0.39942</cdr:y>
    </cdr:to>
    <cdr:sp macro="" textlink="">
      <cdr:nvSpPr>
        <cdr:cNvPr id="118" name="TextBox 1"/>
        <cdr:cNvSpPr txBox="1"/>
      </cdr:nvSpPr>
      <cdr:spPr>
        <a:xfrm xmlns:a="http://schemas.openxmlformats.org/drawingml/2006/main">
          <a:off x="7419575" y="1845851"/>
          <a:ext cx="1268486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‖GO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√17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0.30449</cdr:x>
      <cdr:y>0.26753</cdr:y>
    </cdr:from>
    <cdr:to>
      <cdr:x>0.34405</cdr:x>
      <cdr:y>0.32853</cdr:y>
    </cdr:to>
    <cdr:pic>
      <cdr:nvPicPr>
        <cdr:cNvPr id="119" name="Picture 118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FA1BB26F-2955-4C1C-8BA5-94FA175A07D9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346325" y="1174750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0.35146</cdr:x>
      <cdr:y>0.41938</cdr:y>
    </cdr:from>
    <cdr:to>
      <cdr:x>0.39102</cdr:x>
      <cdr:y>0.48038</cdr:y>
    </cdr:to>
    <cdr:pic>
      <cdr:nvPicPr>
        <cdr:cNvPr id="120" name="Picture 119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7E5231DA-ACE6-4583-BBCC-F6935ED7634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08275" y="1841500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0.50103</cdr:x>
      <cdr:y>0.5517</cdr:y>
    </cdr:from>
    <cdr:to>
      <cdr:x>0.54059</cdr:x>
      <cdr:y>0.6127</cdr:y>
    </cdr:to>
    <cdr:pic>
      <cdr:nvPicPr>
        <cdr:cNvPr id="121" name="Picture 120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AF918377-E2A3-49B7-9BAB-8DBEF8BEA35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860800" y="2422525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0.68026</cdr:x>
      <cdr:y>0.50615</cdr:y>
    </cdr:from>
    <cdr:to>
      <cdr:x>0.71982</cdr:x>
      <cdr:y>0.56714</cdr:y>
    </cdr:to>
    <cdr:pic>
      <cdr:nvPicPr>
        <cdr:cNvPr id="122" name="Picture 121" descr="C:\Users\Laurent.Percebois\AppData\Local\Microsoft\Windows\Temporary Internet Files\Content.IE5\5LDU6IB0\Gas_stove_blue_flames[1].jpg">
          <a:extLst xmlns:a="http://schemas.openxmlformats.org/drawingml/2006/main">
            <a:ext uri="{FF2B5EF4-FFF2-40B4-BE49-F238E27FC236}">
              <a16:creationId xmlns:a16="http://schemas.microsoft.com/office/drawing/2014/main" id="{EDE64D30-28BB-4EDA-80EC-9A3DC43D4FC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241925" y="2222500"/>
          <a:ext cx="304800" cy="26784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0.31363</cdr:x>
      <cdr:y>0.39013</cdr:y>
    </cdr:from>
    <cdr:to>
      <cdr:x>0.36008</cdr:x>
      <cdr:y>0.50198</cdr:y>
    </cdr:to>
    <cdr:cxnSp macro="">
      <cdr:nvCxnSpPr>
        <cdr:cNvPr id="123" name="Straight Connector 122">
          <a:extLst xmlns:a="http://schemas.openxmlformats.org/drawingml/2006/main">
            <a:ext uri="{FF2B5EF4-FFF2-40B4-BE49-F238E27FC236}">
              <a16:creationId xmlns:a16="http://schemas.microsoft.com/office/drawing/2014/main" id="{6A6323D4-BA5C-4E7C-B1BC-F5DCB632CAA3}"/>
            </a:ext>
          </a:extLst>
        </cdr:cNvPr>
        <cdr:cNvCxnSpPr/>
      </cdr:nvCxnSpPr>
      <cdr:spPr>
        <a:xfrm xmlns:a="http://schemas.openxmlformats.org/drawingml/2006/main" flipH="1">
          <a:off x="3177429" y="2071408"/>
          <a:ext cx="470647" cy="593912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0.89173</cdr:x>
      <cdr:y>0.39187</cdr:y>
    </cdr:from>
    <cdr:to>
      <cdr:x>1</cdr:x>
      <cdr:y>0.45381</cdr:y>
    </cdr:to>
    <cdr:sp macro="" textlink="">
      <cdr:nvSpPr>
        <cdr:cNvPr id="124" name="TextBox 1"/>
        <cdr:cNvSpPr txBox="1"/>
      </cdr:nvSpPr>
      <cdr:spPr>
        <a:xfrm xmlns:a="http://schemas.openxmlformats.org/drawingml/2006/main">
          <a:off x="8243889" y="2095501"/>
          <a:ext cx="1000964" cy="3311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‖GT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20√2/7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0.90332</cdr:x>
      <cdr:y>0.29836</cdr:y>
    </cdr:from>
    <cdr:to>
      <cdr:x>1</cdr:x>
      <cdr:y>0.35411</cdr:y>
    </cdr:to>
    <cdr:sp macro="" textlink="">
      <cdr:nvSpPr>
        <cdr:cNvPr id="125" name="TextBox 1"/>
        <cdr:cNvSpPr txBox="1"/>
      </cdr:nvSpPr>
      <cdr:spPr>
        <a:xfrm xmlns:a="http://schemas.openxmlformats.org/drawingml/2006/main">
          <a:off x="8351045" y="1595439"/>
          <a:ext cx="893808" cy="298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‖NT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24/7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0.79897</cdr:x>
      <cdr:y>0.39236</cdr:y>
    </cdr:from>
    <cdr:to>
      <cdr:x>0.93618</cdr:x>
      <cdr:y>0.44659</cdr:y>
    </cdr:to>
    <cdr:sp macro="" textlink="">
      <cdr:nvSpPr>
        <cdr:cNvPr id="126" name="TextBox 1"/>
        <cdr:cNvSpPr txBox="1"/>
      </cdr:nvSpPr>
      <cdr:spPr>
        <a:xfrm xmlns:a="http://schemas.openxmlformats.org/drawingml/2006/main">
          <a:off x="7386386" y="2098092"/>
          <a:ext cx="1268486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‖OT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11/7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0.8943</cdr:x>
      <cdr:y>0.44531</cdr:y>
    </cdr:from>
    <cdr:to>
      <cdr:x>1</cdr:x>
      <cdr:y>0.5022</cdr:y>
    </cdr:to>
    <cdr:sp macro="" textlink="">
      <cdr:nvSpPr>
        <cdr:cNvPr id="127" name="TextBox 1"/>
        <cdr:cNvSpPr txBox="1"/>
      </cdr:nvSpPr>
      <cdr:spPr>
        <a:xfrm xmlns:a="http://schemas.openxmlformats.org/drawingml/2006/main">
          <a:off x="8267701" y="2381251"/>
          <a:ext cx="977152" cy="3042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‖AT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15√2/7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0.53317</cdr:x>
      <cdr:y>0.57538</cdr:y>
    </cdr:from>
    <cdr:to>
      <cdr:x>0.60568</cdr:x>
      <cdr:y>0.62961</cdr:y>
    </cdr:to>
    <cdr:sp macro="" textlink="">
      <cdr:nvSpPr>
        <cdr:cNvPr id="128" name="TextBox 1"/>
        <cdr:cNvSpPr txBox="1"/>
      </cdr:nvSpPr>
      <cdr:spPr>
        <a:xfrm xmlns:a="http://schemas.openxmlformats.org/drawingml/2006/main">
          <a:off x="4108481" y="2537454"/>
          <a:ext cx="558742" cy="2391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√18 </a:t>
          </a:r>
          <a:endParaRPr lang="en-GB" sz="800" i="1"/>
        </a:p>
      </cdr:txBody>
    </cdr:sp>
  </cdr:relSizeAnchor>
  <cdr:relSizeAnchor xmlns:cdr="http://schemas.openxmlformats.org/drawingml/2006/chartDrawing">
    <cdr:from>
      <cdr:x>0.60616</cdr:x>
      <cdr:y>0.54344</cdr:y>
    </cdr:from>
    <cdr:to>
      <cdr:x>0.67867</cdr:x>
      <cdr:y>0.59767</cdr:y>
    </cdr:to>
    <cdr:sp macro="" textlink="">
      <cdr:nvSpPr>
        <cdr:cNvPr id="129" name="TextBox 1"/>
        <cdr:cNvSpPr txBox="1"/>
      </cdr:nvSpPr>
      <cdr:spPr>
        <a:xfrm xmlns:a="http://schemas.openxmlformats.org/drawingml/2006/main">
          <a:off x="5583486" y="2885417"/>
          <a:ext cx="667907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√13 </a:t>
          </a: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0.61612</cdr:x>
      <cdr:y>0.68789</cdr:y>
    </cdr:from>
    <cdr:to>
      <cdr:x>0.68863</cdr:x>
      <cdr:y>0.74211</cdr:y>
    </cdr:to>
    <cdr:sp macro="" textlink="">
      <cdr:nvSpPr>
        <cdr:cNvPr id="130" name="TextBox 1"/>
        <cdr:cNvSpPr txBox="1"/>
      </cdr:nvSpPr>
      <cdr:spPr>
        <a:xfrm xmlns:a="http://schemas.openxmlformats.org/drawingml/2006/main">
          <a:off x="5675265" y="3652423"/>
          <a:ext cx="667907" cy="287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10 </a:t>
          </a:r>
          <a:endParaRPr lang="en-GB" sz="800" i="1"/>
        </a:p>
      </cdr:txBody>
    </cdr:sp>
  </cdr:relSizeAnchor>
  <cdr:relSizeAnchor xmlns:cdr="http://schemas.openxmlformats.org/drawingml/2006/chartDrawing">
    <cdr:from>
      <cdr:x>0.62974</cdr:x>
      <cdr:y>0.58301</cdr:y>
    </cdr:from>
    <cdr:to>
      <cdr:x>0.70225</cdr:x>
      <cdr:y>0.63724</cdr:y>
    </cdr:to>
    <cdr:sp macro="" textlink="">
      <cdr:nvSpPr>
        <cdr:cNvPr id="131" name="TextBox 1"/>
        <cdr:cNvSpPr txBox="1"/>
      </cdr:nvSpPr>
      <cdr:spPr>
        <a:xfrm xmlns:a="http://schemas.openxmlformats.org/drawingml/2006/main">
          <a:off x="6380017" y="3095523"/>
          <a:ext cx="734616" cy="2879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√137 </a:t>
          </a:r>
        </a:p>
        <a:p xmlns:a="http://schemas.openxmlformats.org/drawingml/2006/main">
          <a:endParaRPr lang="en-GB" sz="800" i="1"/>
        </a:p>
      </cdr:txBody>
    </cdr:sp>
  </cdr:relSizeAnchor>
  <cdr:relSizeAnchor xmlns:cdr="http://schemas.openxmlformats.org/drawingml/2006/chartDrawing">
    <cdr:from>
      <cdr:x>0.67903</cdr:x>
      <cdr:y>0.57122</cdr:y>
    </cdr:from>
    <cdr:to>
      <cdr:x>0.75154</cdr:x>
      <cdr:y>0.62545</cdr:y>
    </cdr:to>
    <cdr:sp macro="" textlink="">
      <cdr:nvSpPr>
        <cdr:cNvPr id="132" name="TextBox 1"/>
        <cdr:cNvSpPr txBox="1"/>
      </cdr:nvSpPr>
      <cdr:spPr>
        <a:xfrm xmlns:a="http://schemas.openxmlformats.org/drawingml/2006/main">
          <a:off x="5232400" y="2508250"/>
          <a:ext cx="558742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√80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0.80383</cdr:x>
      <cdr:y>0.49496</cdr:y>
    </cdr:from>
    <cdr:to>
      <cdr:x>0.94104</cdr:x>
      <cdr:y>0.54919</cdr:y>
    </cdr:to>
    <cdr:sp macro="" textlink="">
      <cdr:nvSpPr>
        <cdr:cNvPr id="138" name="TextBox 1"/>
        <cdr:cNvSpPr txBox="1"/>
      </cdr:nvSpPr>
      <cdr:spPr>
        <a:xfrm xmlns:a="http://schemas.openxmlformats.org/drawingml/2006/main">
          <a:off x="7431316" y="2646734"/>
          <a:ext cx="1268486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i="1"/>
            <a:t>‖BD</a:t>
          </a:r>
          <a:r>
            <a:rPr lang="en-GB" sz="1100" i="1">
              <a:effectLst/>
              <a:latin typeface="+mn-lt"/>
              <a:ea typeface="+mn-ea"/>
              <a:cs typeface="+mn-cs"/>
            </a:rPr>
            <a:t>‖</a:t>
          </a:r>
          <a:r>
            <a:rPr lang="en-GB" sz="1000" i="1"/>
            <a:t> = √10 </a:t>
          </a:r>
          <a:endParaRPr lang="en-GB" sz="800" b="1" i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0.64401</cdr:x>
      <cdr:y>0.41287</cdr:y>
    </cdr:from>
    <cdr:to>
      <cdr:x>0.68892</cdr:x>
      <cdr:y>0.43384</cdr:y>
    </cdr:to>
    <cdr:cxnSp macro="">
      <cdr:nvCxnSpPr>
        <cdr:cNvPr id="159" name="Straight Connector 158">
          <a:extLst xmlns:a="http://schemas.openxmlformats.org/drawingml/2006/main">
            <a:ext uri="{FF2B5EF4-FFF2-40B4-BE49-F238E27FC236}">
              <a16:creationId xmlns:a16="http://schemas.microsoft.com/office/drawing/2014/main" id="{E4D717B2-0979-4BCF-AD4B-3919A14CD4E0}"/>
            </a:ext>
          </a:extLst>
        </cdr:cNvPr>
        <cdr:cNvCxnSpPr/>
      </cdr:nvCxnSpPr>
      <cdr:spPr>
        <a:xfrm xmlns:a="http://schemas.openxmlformats.org/drawingml/2006/main" flipH="1">
          <a:off x="4962526" y="1812925"/>
          <a:ext cx="346082" cy="92075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0.6197</cdr:x>
      <cdr:y>0.42733</cdr:y>
    </cdr:from>
    <cdr:to>
      <cdr:x>0.64524</cdr:x>
      <cdr:y>0.43673</cdr:y>
    </cdr:to>
    <cdr:cxnSp macro="">
      <cdr:nvCxnSpPr>
        <cdr:cNvPr id="160" name="Straight Connector 159">
          <a:extLst xmlns:a="http://schemas.openxmlformats.org/drawingml/2006/main">
            <a:ext uri="{FF2B5EF4-FFF2-40B4-BE49-F238E27FC236}">
              <a16:creationId xmlns:a16="http://schemas.microsoft.com/office/drawing/2014/main" id="{DBD97B7B-44DB-446D-8EF2-60D01E1EC59D}"/>
            </a:ext>
          </a:extLst>
        </cdr:cNvPr>
        <cdr:cNvCxnSpPr/>
      </cdr:nvCxnSpPr>
      <cdr:spPr>
        <a:xfrm xmlns:a="http://schemas.openxmlformats.org/drawingml/2006/main" flipH="1">
          <a:off x="4775201" y="1876425"/>
          <a:ext cx="196850" cy="41274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0.64277</cdr:x>
      <cdr:y>0.4295</cdr:y>
    </cdr:from>
    <cdr:to>
      <cdr:x>0.64524</cdr:x>
      <cdr:y>0.53145</cdr:y>
    </cdr:to>
    <cdr:cxnSp macro="">
      <cdr:nvCxnSpPr>
        <cdr:cNvPr id="162" name="Straight Connector 161">
          <a:extLst xmlns:a="http://schemas.openxmlformats.org/drawingml/2006/main">
            <a:ext uri="{FF2B5EF4-FFF2-40B4-BE49-F238E27FC236}">
              <a16:creationId xmlns:a16="http://schemas.microsoft.com/office/drawing/2014/main" id="{A2F6C159-CEAB-4B33-BEF2-122481B43DE2}"/>
            </a:ext>
          </a:extLst>
        </cdr:cNvPr>
        <cdr:cNvCxnSpPr/>
      </cdr:nvCxnSpPr>
      <cdr:spPr>
        <a:xfrm xmlns:a="http://schemas.openxmlformats.org/drawingml/2006/main" flipH="1">
          <a:off x="4953046" y="1885950"/>
          <a:ext cx="19005" cy="447660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0.59745</cdr:x>
      <cdr:y>0.53362</cdr:y>
    </cdr:from>
    <cdr:to>
      <cdr:x>0.60692</cdr:x>
      <cdr:y>0.59508</cdr:y>
    </cdr:to>
    <cdr:cxnSp macro="">
      <cdr:nvCxnSpPr>
        <cdr:cNvPr id="165" name="Straight Connector 164">
          <a:extLst xmlns:a="http://schemas.openxmlformats.org/drawingml/2006/main">
            <a:ext uri="{FF2B5EF4-FFF2-40B4-BE49-F238E27FC236}">
              <a16:creationId xmlns:a16="http://schemas.microsoft.com/office/drawing/2014/main" id="{10F8A306-00B8-4423-AFB7-4FC0EB5029E9}"/>
            </a:ext>
          </a:extLst>
        </cdr:cNvPr>
        <cdr:cNvCxnSpPr/>
      </cdr:nvCxnSpPr>
      <cdr:spPr>
        <a:xfrm xmlns:a="http://schemas.openxmlformats.org/drawingml/2006/main" flipH="1">
          <a:off x="4603750" y="2343150"/>
          <a:ext cx="73026" cy="269873"/>
        </a:xfrm>
        <a:prstGeom xmlns:a="http://schemas.openxmlformats.org/drawingml/2006/main" prst="line">
          <a:avLst/>
        </a:prstGeom>
        <a:ln xmlns:a="http://schemas.openxmlformats.org/drawingml/2006/main" w="25400">
          <a:solidFill>
            <a:srgbClr val="FFC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0.3708</cdr:x>
      <cdr:y>0.65126</cdr:y>
    </cdr:from>
    <cdr:to>
      <cdr:x>0.58735</cdr:x>
      <cdr:y>0.71851</cdr:y>
    </cdr:to>
    <cdr:sp macro="" textlink="">
      <cdr:nvSpPr>
        <cdr:cNvPr id="134" name="TextBox 1"/>
        <cdr:cNvSpPr txBox="1"/>
      </cdr:nvSpPr>
      <cdr:spPr>
        <a:xfrm xmlns:a="http://schemas.openxmlformats.org/drawingml/2006/main">
          <a:off x="3415554" y="3479800"/>
          <a:ext cx="1994647" cy="3593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600" b="1">
              <a:solidFill>
                <a:srgbClr val="FF0000"/>
              </a:solidFill>
            </a:rPr>
            <a:t>Entry-Exit Zone 1</a:t>
          </a:r>
        </a:p>
      </cdr:txBody>
    </cdr:sp>
  </cdr:relSizeAnchor>
  <cdr:relSizeAnchor xmlns:cdr="http://schemas.openxmlformats.org/drawingml/2006/chartDrawing">
    <cdr:from>
      <cdr:x>0.83875</cdr:x>
      <cdr:y>0.25442</cdr:y>
    </cdr:from>
    <cdr:to>
      <cdr:x>0.97595</cdr:x>
      <cdr:y>0.30865</cdr:y>
    </cdr:to>
    <cdr:sp macro="" textlink="">
      <cdr:nvSpPr>
        <cdr:cNvPr id="133" name="TextBox 1"/>
        <cdr:cNvSpPr txBox="1"/>
      </cdr:nvSpPr>
      <cdr:spPr>
        <a:xfrm xmlns:a="http://schemas.openxmlformats.org/drawingml/2006/main">
          <a:off x="7754144" y="1360487"/>
          <a:ext cx="1268394" cy="289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00" b="1" i="0">
              <a:solidFill>
                <a:srgbClr val="FF0000"/>
              </a:solidFill>
            </a:rPr>
            <a:t>Other distances</a:t>
          </a:r>
          <a:endParaRPr lang="en-GB" sz="800" b="1" i="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0.80158</cdr:x>
      <cdr:y>0.2516</cdr:y>
    </cdr:from>
    <cdr:to>
      <cdr:x>1</cdr:x>
      <cdr:y>0.63011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7410451" y="1345407"/>
          <a:ext cx="1834402" cy="2024063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0.38989</cdr:x>
      <cdr:y>0.36009</cdr:y>
    </cdr:from>
    <cdr:to>
      <cdr:x>0.41534</cdr:x>
      <cdr:y>0.36009</cdr:y>
    </cdr:to>
    <cdr:cxnSp macro="">
      <cdr:nvCxnSpPr>
        <cdr:cNvPr id="135" name="Straight Arrow Connector 134">
          <a:extLst xmlns:a="http://schemas.openxmlformats.org/drawingml/2006/main">
            <a:ext uri="{FF2B5EF4-FFF2-40B4-BE49-F238E27FC236}">
              <a16:creationId xmlns:a16="http://schemas.microsoft.com/office/drawing/2014/main" id="{EE4767BA-D869-423F-BADF-07ADE911FE76}"/>
            </a:ext>
          </a:extLst>
        </cdr:cNvPr>
        <cdr:cNvCxnSpPr/>
      </cdr:nvCxnSpPr>
      <cdr:spPr>
        <a:xfrm xmlns:a="http://schemas.openxmlformats.org/drawingml/2006/main">
          <a:off x="3961040" y="1914526"/>
          <a:ext cx="258536" cy="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0.31805</cdr:x>
      <cdr:y>0.42241</cdr:y>
    </cdr:from>
    <cdr:to>
      <cdr:x>0.33738</cdr:x>
      <cdr:y>0.47033</cdr:y>
    </cdr:to>
    <cdr:cxnSp macro="">
      <cdr:nvCxnSpPr>
        <cdr:cNvPr id="136" name="Straight Arrow Connector 135">
          <a:extLst xmlns:a="http://schemas.openxmlformats.org/drawingml/2006/main">
            <a:ext uri="{FF2B5EF4-FFF2-40B4-BE49-F238E27FC236}">
              <a16:creationId xmlns:a16="http://schemas.microsoft.com/office/drawing/2014/main" id="{11439E03-42C5-472D-9E87-8AE5AFDBF55A}"/>
            </a:ext>
          </a:extLst>
        </cdr:cNvPr>
        <cdr:cNvCxnSpPr/>
      </cdr:nvCxnSpPr>
      <cdr:spPr>
        <a:xfrm xmlns:a="http://schemas.openxmlformats.org/drawingml/2006/main" flipH="1">
          <a:off x="3222253" y="2242830"/>
          <a:ext cx="195867" cy="25440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0.31252</cdr:x>
      <cdr:y>0.54208</cdr:y>
    </cdr:from>
    <cdr:to>
      <cdr:x>0.32051</cdr:x>
      <cdr:y>0.57969</cdr:y>
    </cdr:to>
    <cdr:cxnSp macro="">
      <cdr:nvCxnSpPr>
        <cdr:cNvPr id="137" name="Straight Arrow Connector 136">
          <a:extLst xmlns:a="http://schemas.openxmlformats.org/drawingml/2006/main">
            <a:ext uri="{FF2B5EF4-FFF2-40B4-BE49-F238E27FC236}">
              <a16:creationId xmlns:a16="http://schemas.microsoft.com/office/drawing/2014/main" id="{906643C2-FBD7-498F-8094-B7A3F80B4C62}"/>
            </a:ext>
          </a:extLst>
        </cdr:cNvPr>
        <cdr:cNvCxnSpPr/>
      </cdr:nvCxnSpPr>
      <cdr:spPr>
        <a:xfrm xmlns:a="http://schemas.openxmlformats.org/drawingml/2006/main" flipH="1" flipV="1">
          <a:off x="3166223" y="2878232"/>
          <a:ext cx="80900" cy="199651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0.18753</cdr:x>
      <cdr:y>0.37258</cdr:y>
    </cdr:from>
    <cdr:to>
      <cdr:x>0.18765</cdr:x>
      <cdr:y>0.4239</cdr:y>
    </cdr:to>
    <cdr:cxnSp macro="">
      <cdr:nvCxnSpPr>
        <cdr:cNvPr id="139" name="Straight Arrow Connector 138">
          <a:extLst xmlns:a="http://schemas.openxmlformats.org/drawingml/2006/main">
            <a:ext uri="{FF2B5EF4-FFF2-40B4-BE49-F238E27FC236}">
              <a16:creationId xmlns:a16="http://schemas.microsoft.com/office/drawing/2014/main" id="{913D7854-B968-4138-B3CC-29D01E6DA288}"/>
            </a:ext>
          </a:extLst>
        </cdr:cNvPr>
        <cdr:cNvCxnSpPr/>
      </cdr:nvCxnSpPr>
      <cdr:spPr>
        <a:xfrm xmlns:a="http://schemas.openxmlformats.org/drawingml/2006/main" flipH="1">
          <a:off x="1899959" y="1978227"/>
          <a:ext cx="1168" cy="272476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0.30058</cdr:x>
      <cdr:y>0.65394</cdr:y>
    </cdr:from>
    <cdr:to>
      <cdr:x>0.31363</cdr:x>
      <cdr:y>0.70776</cdr:y>
    </cdr:to>
    <cdr:cxnSp macro="">
      <cdr:nvCxnSpPr>
        <cdr:cNvPr id="140" name="Straight Arrow Connector 139">
          <a:extLst xmlns:a="http://schemas.openxmlformats.org/drawingml/2006/main">
            <a:ext uri="{FF2B5EF4-FFF2-40B4-BE49-F238E27FC236}">
              <a16:creationId xmlns:a16="http://schemas.microsoft.com/office/drawing/2014/main" id="{961259D7-82D9-4AA0-8C22-5F74BF0E05CE}"/>
            </a:ext>
          </a:extLst>
        </cdr:cNvPr>
        <cdr:cNvCxnSpPr/>
      </cdr:nvCxnSpPr>
      <cdr:spPr>
        <a:xfrm xmlns:a="http://schemas.openxmlformats.org/drawingml/2006/main" flipV="1">
          <a:off x="3045230" y="3472143"/>
          <a:ext cx="132199" cy="28575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0.32248</cdr:x>
      <cdr:y>0.78479</cdr:y>
    </cdr:from>
    <cdr:to>
      <cdr:x>0.3532</cdr:x>
      <cdr:y>0.79468</cdr:y>
    </cdr:to>
    <cdr:cxnSp macro="">
      <cdr:nvCxnSpPr>
        <cdr:cNvPr id="141" name="Straight Arrow Connector 140">
          <a:extLst xmlns:a="http://schemas.openxmlformats.org/drawingml/2006/main">
            <a:ext uri="{FF2B5EF4-FFF2-40B4-BE49-F238E27FC236}">
              <a16:creationId xmlns:a16="http://schemas.microsoft.com/office/drawing/2014/main" id="{CABE1BE4-CCFF-4F68-BF99-FE290D1B243C}"/>
            </a:ext>
          </a:extLst>
        </cdr:cNvPr>
        <cdr:cNvCxnSpPr/>
      </cdr:nvCxnSpPr>
      <cdr:spPr>
        <a:xfrm xmlns:a="http://schemas.openxmlformats.org/drawingml/2006/main">
          <a:off x="3267076" y="4166909"/>
          <a:ext cx="311306" cy="52480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0.44636</cdr:x>
      <cdr:y>0.29093</cdr:y>
    </cdr:from>
    <cdr:to>
      <cdr:x>0.45963</cdr:x>
      <cdr:y>0.33314</cdr:y>
    </cdr:to>
    <cdr:cxnSp macro="">
      <cdr:nvCxnSpPr>
        <cdr:cNvPr id="142" name="Straight Arrow Connector 141">
          <a:extLst xmlns:a="http://schemas.openxmlformats.org/drawingml/2006/main">
            <a:ext uri="{FF2B5EF4-FFF2-40B4-BE49-F238E27FC236}">
              <a16:creationId xmlns:a16="http://schemas.microsoft.com/office/drawing/2014/main" id="{D87A5AB7-6CAD-49CB-A6A7-A6A7B7EC713C}"/>
            </a:ext>
          </a:extLst>
        </cdr:cNvPr>
        <cdr:cNvCxnSpPr/>
      </cdr:nvCxnSpPr>
      <cdr:spPr>
        <a:xfrm xmlns:a="http://schemas.openxmlformats.org/drawingml/2006/main" flipH="1">
          <a:off x="4522136" y="1544732"/>
          <a:ext cx="134470" cy="224117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0.44414</cdr:x>
      <cdr:y>0.39435</cdr:y>
    </cdr:from>
    <cdr:to>
      <cdr:x>0.46737</cdr:x>
      <cdr:y>0.43656</cdr:y>
    </cdr:to>
    <cdr:cxnSp macro="">
      <cdr:nvCxnSpPr>
        <cdr:cNvPr id="143" name="Straight Arrow Connector 142">
          <a:extLst xmlns:a="http://schemas.openxmlformats.org/drawingml/2006/main">
            <a:ext uri="{FF2B5EF4-FFF2-40B4-BE49-F238E27FC236}">
              <a16:creationId xmlns:a16="http://schemas.microsoft.com/office/drawing/2014/main" id="{EAFDC0D5-B508-41B2-9085-7BC4E946C0FD}"/>
            </a:ext>
          </a:extLst>
        </cdr:cNvPr>
        <cdr:cNvCxnSpPr/>
      </cdr:nvCxnSpPr>
      <cdr:spPr>
        <a:xfrm xmlns:a="http://schemas.openxmlformats.org/drawingml/2006/main" flipH="1" flipV="1">
          <a:off x="4499724" y="2093820"/>
          <a:ext cx="235323" cy="224118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0.56028</cdr:x>
      <cdr:y>0.44711</cdr:y>
    </cdr:from>
    <cdr:to>
      <cdr:x>0.59125</cdr:x>
      <cdr:y>0.48299</cdr:y>
    </cdr:to>
    <cdr:cxnSp macro="">
      <cdr:nvCxnSpPr>
        <cdr:cNvPr id="144" name="Straight Arrow Connector 143">
          <a:extLst xmlns:a="http://schemas.openxmlformats.org/drawingml/2006/main">
            <a:ext uri="{FF2B5EF4-FFF2-40B4-BE49-F238E27FC236}">
              <a16:creationId xmlns:a16="http://schemas.microsoft.com/office/drawing/2014/main" id="{A9AE0379-010E-45B6-BA6F-9E2DAAE39F8E}"/>
            </a:ext>
          </a:extLst>
        </cdr:cNvPr>
        <cdr:cNvCxnSpPr/>
      </cdr:nvCxnSpPr>
      <cdr:spPr>
        <a:xfrm xmlns:a="http://schemas.openxmlformats.org/drawingml/2006/main" flipV="1">
          <a:off x="5676341" y="2373969"/>
          <a:ext cx="313765" cy="190499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0.63769</cdr:x>
      <cdr:y>0.33736</cdr:y>
    </cdr:from>
    <cdr:to>
      <cdr:x>0.63771</cdr:x>
      <cdr:y>0.38735</cdr:y>
    </cdr:to>
    <cdr:cxnSp macro="">
      <cdr:nvCxnSpPr>
        <cdr:cNvPr id="145" name="Straight Arrow Connector 144">
          <a:extLst xmlns:a="http://schemas.openxmlformats.org/drawingml/2006/main">
            <a:ext uri="{FF2B5EF4-FFF2-40B4-BE49-F238E27FC236}">
              <a16:creationId xmlns:a16="http://schemas.microsoft.com/office/drawing/2014/main" id="{79F242D1-DAE4-4D27-A04C-3C085013AC2B}"/>
            </a:ext>
          </a:extLst>
        </cdr:cNvPr>
        <cdr:cNvCxnSpPr/>
      </cdr:nvCxnSpPr>
      <cdr:spPr>
        <a:xfrm xmlns:a="http://schemas.openxmlformats.org/drawingml/2006/main" flipV="1">
          <a:off x="6460564" y="1791261"/>
          <a:ext cx="189" cy="26539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0.60231</cdr:x>
      <cdr:y>0.464</cdr:y>
    </cdr:from>
    <cdr:to>
      <cdr:x>0.61005</cdr:x>
      <cdr:y>0.50832</cdr:y>
    </cdr:to>
    <cdr:cxnSp macro="">
      <cdr:nvCxnSpPr>
        <cdr:cNvPr id="146" name="Straight Arrow Connector 145">
          <a:extLst xmlns:a="http://schemas.openxmlformats.org/drawingml/2006/main">
            <a:ext uri="{FF2B5EF4-FFF2-40B4-BE49-F238E27FC236}">
              <a16:creationId xmlns:a16="http://schemas.microsoft.com/office/drawing/2014/main" id="{D16CDD87-41A8-4891-98E8-BCA616377AE2}"/>
            </a:ext>
          </a:extLst>
        </cdr:cNvPr>
        <cdr:cNvCxnSpPr/>
      </cdr:nvCxnSpPr>
      <cdr:spPr>
        <a:xfrm xmlns:a="http://schemas.openxmlformats.org/drawingml/2006/main" flipV="1">
          <a:off x="6102164" y="2463616"/>
          <a:ext cx="78442" cy="235322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0.6189</cdr:x>
      <cdr:y>0.40912</cdr:y>
    </cdr:from>
    <cdr:to>
      <cdr:x>0.63881</cdr:x>
      <cdr:y>0.41756</cdr:y>
    </cdr:to>
    <cdr:cxnSp macro="">
      <cdr:nvCxnSpPr>
        <cdr:cNvPr id="147" name="Straight Arrow Connector 146">
          <a:extLst xmlns:a="http://schemas.openxmlformats.org/drawingml/2006/main">
            <a:ext uri="{FF2B5EF4-FFF2-40B4-BE49-F238E27FC236}">
              <a16:creationId xmlns:a16="http://schemas.microsoft.com/office/drawing/2014/main" id="{E42874F5-A013-4438-8E41-11151EC22A13}"/>
            </a:ext>
          </a:extLst>
        </cdr:cNvPr>
        <cdr:cNvCxnSpPr/>
      </cdr:nvCxnSpPr>
      <cdr:spPr>
        <a:xfrm xmlns:a="http://schemas.openxmlformats.org/drawingml/2006/main" flipH="1">
          <a:off x="6270253" y="2172261"/>
          <a:ext cx="201706" cy="44824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0.63218</cdr:x>
      <cdr:y>0.45133</cdr:y>
    </cdr:from>
    <cdr:to>
      <cdr:x>0.63992</cdr:x>
      <cdr:y>0.49565</cdr:y>
    </cdr:to>
    <cdr:cxnSp macro="">
      <cdr:nvCxnSpPr>
        <cdr:cNvPr id="148" name="Straight Arrow Connector 147">
          <a:extLst xmlns:a="http://schemas.openxmlformats.org/drawingml/2006/main">
            <a:ext uri="{FF2B5EF4-FFF2-40B4-BE49-F238E27FC236}">
              <a16:creationId xmlns:a16="http://schemas.microsoft.com/office/drawing/2014/main" id="{6967F0AB-FB7F-4928-9FA1-93AF9313C1AF}"/>
            </a:ext>
          </a:extLst>
        </cdr:cNvPr>
        <cdr:cNvCxnSpPr/>
      </cdr:nvCxnSpPr>
      <cdr:spPr>
        <a:xfrm xmlns:a="http://schemas.openxmlformats.org/drawingml/2006/main" flipH="1" flipV="1">
          <a:off x="6404724" y="2396379"/>
          <a:ext cx="78441" cy="235324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0.70184</cdr:x>
      <cdr:y>0.61317</cdr:y>
    </cdr:from>
    <cdr:to>
      <cdr:x>0.73393</cdr:x>
      <cdr:y>0.68349</cdr:y>
    </cdr:to>
    <cdr:cxnSp macro="">
      <cdr:nvCxnSpPr>
        <cdr:cNvPr id="152" name="Straight Arrow Connector 151">
          <a:extLst xmlns:a="http://schemas.openxmlformats.org/drawingml/2006/main">
            <a:ext uri="{FF2B5EF4-FFF2-40B4-BE49-F238E27FC236}">
              <a16:creationId xmlns:a16="http://schemas.microsoft.com/office/drawing/2014/main" id="{31A79C47-1EE1-45BA-AD0A-2FF2291F83F0}"/>
            </a:ext>
          </a:extLst>
        </cdr:cNvPr>
        <cdr:cNvCxnSpPr/>
      </cdr:nvCxnSpPr>
      <cdr:spPr>
        <a:xfrm xmlns:a="http://schemas.openxmlformats.org/drawingml/2006/main">
          <a:off x="7110506" y="3255682"/>
          <a:ext cx="325159" cy="373345"/>
        </a:xfrm>
        <a:prstGeom xmlns:a="http://schemas.openxmlformats.org/drawingml/2006/main" prst="straightConnector1">
          <a:avLst/>
        </a:prstGeom>
        <a:ln xmlns:a="http://schemas.openxmlformats.org/drawingml/2006/main" w="25400">
          <a:solidFill>
            <a:srgbClr val="2A3F82"/>
          </a:solidFill>
          <a:headEnd type="arrow"/>
          <a:tailEnd type="non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ENTSOG">
      <a:dk1>
        <a:srgbClr val="1F4484"/>
      </a:dk1>
      <a:lt1>
        <a:srgbClr val="FFFFFF"/>
      </a:lt1>
      <a:dk2>
        <a:srgbClr val="6B95C7"/>
      </a:dk2>
      <a:lt2>
        <a:srgbClr val="3E6CA4"/>
      </a:lt2>
      <a:accent1>
        <a:srgbClr val="1F4484"/>
      </a:accent1>
      <a:accent2>
        <a:srgbClr val="829824"/>
      </a:accent2>
      <a:accent3>
        <a:srgbClr val="C1D537"/>
      </a:accent3>
      <a:accent4>
        <a:srgbClr val="E8262C"/>
      </a:accent4>
      <a:accent5>
        <a:srgbClr val="EB7A3B"/>
      </a:accent5>
      <a:accent6>
        <a:srgbClr val="F2CA00"/>
      </a:accent6>
      <a:hlink>
        <a:srgbClr val="1F4484"/>
      </a:hlink>
      <a:folHlink>
        <a:srgbClr val="8D75AB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9B5E0-8961-4B59-B0B7-C0CF7E984BF0}">
  <dimension ref="A1"/>
  <sheetViews>
    <sheetView showGridLines="0" showRowColHeaders="0" tabSelected="1" workbookViewId="0">
      <selection activeCell="M22" sqref="M22"/>
    </sheetView>
  </sheetViews>
  <sheetFormatPr baseColWidth="10" defaultRowHeight="15" x14ac:dyDescent="0.25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18" sqref="Q18"/>
    </sheetView>
  </sheetViews>
  <sheetFormatPr baseColWidth="10" defaultColWidth="9.140625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6"/>
  <sheetViews>
    <sheetView zoomScale="90" zoomScaleNormal="90" workbookViewId="0">
      <pane xSplit="6" ySplit="2" topLeftCell="G3" activePane="bottomRight" state="frozen"/>
      <selection pane="topRight" activeCell="G1" sqref="G1"/>
      <selection pane="bottomLeft" activeCell="A3" sqref="A3"/>
      <selection pane="bottomRight" activeCell="E14" sqref="E14"/>
    </sheetView>
  </sheetViews>
  <sheetFormatPr baseColWidth="10" defaultColWidth="11.42578125" defaultRowHeight="15" x14ac:dyDescent="0.25"/>
  <cols>
    <col min="1" max="1" width="10.85546875" style="13" bestFit="1" customWidth="1"/>
    <col min="2" max="2" width="12.85546875" style="13" bestFit="1" customWidth="1"/>
    <col min="3" max="3" width="15" style="13" bestFit="1" customWidth="1"/>
    <col min="4" max="4" width="11.5703125" style="13" bestFit="1" customWidth="1"/>
    <col min="5" max="6" width="20.85546875" style="13" customWidth="1"/>
    <col min="7" max="7" width="19.140625" style="13" bestFit="1" customWidth="1"/>
    <col min="8" max="8" width="21.42578125" style="13" bestFit="1" customWidth="1"/>
    <col min="9" max="9" width="20.28515625" style="13" bestFit="1" customWidth="1"/>
    <col min="10" max="10" width="20.28515625" style="13" customWidth="1"/>
    <col min="11" max="11" width="22.85546875" style="13" bestFit="1" customWidth="1"/>
    <col min="12" max="12" width="27.140625" style="13" bestFit="1" customWidth="1"/>
    <col min="13" max="13" width="29.28515625" style="13" bestFit="1" customWidth="1"/>
    <col min="14" max="14" width="28.28515625" style="13" bestFit="1" customWidth="1"/>
    <col min="15" max="15" width="28.28515625" style="13" customWidth="1"/>
    <col min="16" max="16" width="25.140625" style="13" bestFit="1" customWidth="1"/>
    <col min="17" max="18" width="30.42578125" style="13" customWidth="1"/>
    <col min="19" max="16384" width="11.42578125" style="13"/>
  </cols>
  <sheetData>
    <row r="1" spans="1:18" ht="15.75" thickBot="1" x14ac:dyDescent="0.3">
      <c r="A1" s="95" t="s">
        <v>27</v>
      </c>
      <c r="B1" s="93" t="s">
        <v>14</v>
      </c>
      <c r="C1" s="93" t="s">
        <v>28</v>
      </c>
      <c r="D1" s="91" t="s">
        <v>68</v>
      </c>
      <c r="E1" s="104" t="s">
        <v>84</v>
      </c>
      <c r="F1" s="100" t="s">
        <v>37</v>
      </c>
      <c r="G1" s="97" t="s">
        <v>53</v>
      </c>
      <c r="H1" s="98"/>
      <c r="I1" s="98"/>
      <c r="J1" s="98"/>
      <c r="K1" s="99"/>
      <c r="L1" s="97" t="s">
        <v>52</v>
      </c>
      <c r="M1" s="98"/>
      <c r="N1" s="98"/>
      <c r="O1" s="98"/>
      <c r="P1" s="99"/>
      <c r="Q1" s="98" t="s">
        <v>75</v>
      </c>
      <c r="R1" s="99" t="s">
        <v>74</v>
      </c>
    </row>
    <row r="2" spans="1:18" ht="15.75" thickBot="1" x14ac:dyDescent="0.3">
      <c r="A2" s="96"/>
      <c r="B2" s="94"/>
      <c r="C2" s="94"/>
      <c r="D2" s="92"/>
      <c r="E2" s="105"/>
      <c r="F2" s="101"/>
      <c r="G2" s="33" t="s">
        <v>31</v>
      </c>
      <c r="H2" s="24" t="s">
        <v>32</v>
      </c>
      <c r="I2" s="24" t="s">
        <v>29</v>
      </c>
      <c r="J2" s="24" t="s">
        <v>30</v>
      </c>
      <c r="K2" s="34" t="s">
        <v>50</v>
      </c>
      <c r="L2" s="33" t="s">
        <v>33</v>
      </c>
      <c r="M2" s="24" t="s">
        <v>34</v>
      </c>
      <c r="N2" s="24" t="s">
        <v>35</v>
      </c>
      <c r="O2" s="24" t="s">
        <v>36</v>
      </c>
      <c r="P2" s="34" t="s">
        <v>51</v>
      </c>
      <c r="Q2" s="102"/>
      <c r="R2" s="103"/>
    </row>
    <row r="3" spans="1:18" x14ac:dyDescent="0.25">
      <c r="A3" s="14" t="s">
        <v>38</v>
      </c>
      <c r="B3" s="15" t="s">
        <v>15</v>
      </c>
      <c r="C3" s="15" t="s">
        <v>12</v>
      </c>
      <c r="D3" s="25" t="s">
        <v>64</v>
      </c>
      <c r="E3" s="30">
        <f>IF(C3="Entry",INDEX('Tariff calculation'!$H$2:$H$10,MATCH('Main sheet'!D3,'Tariff calculation'!$A$2:$A$10,0),1),INDEX('Tariff calculation'!$H$16:$H$23,MATCH('Main sheet'!D3,'Tariff calculation'!$A$16:$A$23,0),1))</f>
        <v>0.41954389267487641</v>
      </c>
      <c r="F3" s="27">
        <v>0.1</v>
      </c>
      <c r="G3" s="35">
        <v>4</v>
      </c>
      <c r="H3" s="22">
        <v>0</v>
      </c>
      <c r="I3" s="22">
        <v>0</v>
      </c>
      <c r="J3" s="22">
        <v>0</v>
      </c>
      <c r="K3" s="36">
        <v>0</v>
      </c>
      <c r="L3" s="35">
        <v>0</v>
      </c>
      <c r="M3" s="22">
        <v>0</v>
      </c>
      <c r="N3" s="22">
        <v>0</v>
      </c>
      <c r="O3" s="22">
        <v>0</v>
      </c>
      <c r="P3" s="36">
        <v>0</v>
      </c>
      <c r="Q3" s="41">
        <f>SUM(G3:P3)</f>
        <v>4</v>
      </c>
      <c r="R3" s="23">
        <f>'Main sheet'!G3+SUMPRODUCT(H3:K3,Parameters!$B$2:$E$2)+(1-'Main sheet'!F3)*('Main sheet'!L3+SUMPRODUCT('Main sheet'!M3:P3,Parameters!$B$2:$E$2))</f>
        <v>4</v>
      </c>
    </row>
    <row r="4" spans="1:18" x14ac:dyDescent="0.25">
      <c r="A4" s="14" t="s">
        <v>39</v>
      </c>
      <c r="B4" s="15" t="s">
        <v>15</v>
      </c>
      <c r="C4" s="15" t="s">
        <v>13</v>
      </c>
      <c r="D4" s="25" t="s">
        <v>65</v>
      </c>
      <c r="E4" s="31">
        <f>IF(C4="Entry",INDEX('Tariff calculation'!$H$2:$H$10,MATCH('Main sheet'!D4,'Tariff calculation'!$A$2:$A$10,0),1),INDEX('Tariff calculation'!$H$16:$H$23,MATCH('Main sheet'!D4,'Tariff calculation'!$A$16:$A$23,0),1))</f>
        <v>0.22424770813204534</v>
      </c>
      <c r="F4" s="28">
        <v>0.1</v>
      </c>
      <c r="G4" s="37">
        <v>1</v>
      </c>
      <c r="H4" s="16">
        <v>0</v>
      </c>
      <c r="I4" s="16">
        <v>0</v>
      </c>
      <c r="J4" s="16">
        <v>0</v>
      </c>
      <c r="K4" s="38">
        <v>0</v>
      </c>
      <c r="L4" s="37">
        <v>0</v>
      </c>
      <c r="M4" s="16">
        <v>0</v>
      </c>
      <c r="N4" s="16">
        <v>0</v>
      </c>
      <c r="O4" s="16">
        <v>0</v>
      </c>
      <c r="P4" s="38">
        <v>0</v>
      </c>
      <c r="Q4" s="42">
        <f t="shared" ref="Q4:Q26" si="0">SUM(G4:P4)</f>
        <v>1</v>
      </c>
      <c r="R4" s="17">
        <f>'Main sheet'!G4+SUMPRODUCT(H4:K4,Parameters!$B$2:$E$2)+(1-'Main sheet'!F4)*('Main sheet'!L4+SUMPRODUCT('Main sheet'!M4:P4,Parameters!$B$2:$E$2))</f>
        <v>1</v>
      </c>
    </row>
    <row r="5" spans="1:18" x14ac:dyDescent="0.25">
      <c r="A5" s="14" t="s">
        <v>40</v>
      </c>
      <c r="B5" s="15" t="s">
        <v>16</v>
      </c>
      <c r="C5" s="15" t="s">
        <v>12</v>
      </c>
      <c r="D5" s="25" t="s">
        <v>40</v>
      </c>
      <c r="E5" s="31">
        <f>IF(C5="Entry",INDEX('Tariff calculation'!$H$2:$H$10,MATCH('Main sheet'!D5,'Tariff calculation'!$A$2:$A$10,0),1),INDEX('Tariff calculation'!$H$16:$H$23,MATCH('Main sheet'!D5,'Tariff calculation'!$A$16:$A$23,0),1))</f>
        <v>1.4775785836955264</v>
      </c>
      <c r="F5" s="28">
        <v>0.1</v>
      </c>
      <c r="G5" s="37">
        <v>68</v>
      </c>
      <c r="H5" s="16">
        <v>0</v>
      </c>
      <c r="I5" s="16">
        <v>0</v>
      </c>
      <c r="J5" s="16">
        <v>0</v>
      </c>
      <c r="K5" s="38">
        <v>0</v>
      </c>
      <c r="L5" s="37">
        <v>0</v>
      </c>
      <c r="M5" s="16">
        <v>0</v>
      </c>
      <c r="N5" s="16">
        <v>0</v>
      </c>
      <c r="O5" s="16">
        <v>0</v>
      </c>
      <c r="P5" s="38">
        <v>0</v>
      </c>
      <c r="Q5" s="42">
        <f t="shared" si="0"/>
        <v>68</v>
      </c>
      <c r="R5" s="17">
        <f>'Main sheet'!G5+SUMPRODUCT(H5:K5,Parameters!$B$2:$E$2)+(1-'Main sheet'!F5)*('Main sheet'!L5+SUMPRODUCT('Main sheet'!M5:P5,Parameters!$B$2:$E$2))</f>
        <v>68</v>
      </c>
    </row>
    <row r="6" spans="1:18" x14ac:dyDescent="0.25">
      <c r="A6" s="14" t="s">
        <v>41</v>
      </c>
      <c r="B6" s="15" t="s">
        <v>16</v>
      </c>
      <c r="C6" s="15" t="s">
        <v>13</v>
      </c>
      <c r="D6" s="25" t="s">
        <v>41</v>
      </c>
      <c r="E6" s="31">
        <f>IF(C6="Entry",INDEX('Tariff calculation'!$H$2:$H$10,MATCH('Main sheet'!D6,'Tariff calculation'!$A$2:$A$10,0),1),INDEX('Tariff calculation'!$H$16:$H$23,MATCH('Main sheet'!D6,'Tariff calculation'!$A$16:$A$23,0),1))</f>
        <v>1.5328410477660568</v>
      </c>
      <c r="F6" s="28">
        <v>0.1</v>
      </c>
      <c r="G6" s="37">
        <v>90</v>
      </c>
      <c r="H6" s="16">
        <v>0</v>
      </c>
      <c r="I6" s="16">
        <v>0</v>
      </c>
      <c r="J6" s="16">
        <v>0</v>
      </c>
      <c r="K6" s="38">
        <v>0</v>
      </c>
      <c r="L6" s="37">
        <v>0</v>
      </c>
      <c r="M6" s="16">
        <v>0</v>
      </c>
      <c r="N6" s="16">
        <v>0</v>
      </c>
      <c r="O6" s="16">
        <v>0</v>
      </c>
      <c r="P6" s="38">
        <v>0</v>
      </c>
      <c r="Q6" s="42">
        <f t="shared" si="0"/>
        <v>90</v>
      </c>
      <c r="R6" s="17">
        <f>'Main sheet'!G6+SUMPRODUCT(H6:K6,Parameters!$B$2:$E$2)+(1-'Main sheet'!F6)*('Main sheet'!L6+SUMPRODUCT('Main sheet'!M6:P6,Parameters!$B$2:$E$2))</f>
        <v>90</v>
      </c>
    </row>
    <row r="7" spans="1:18" x14ac:dyDescent="0.25">
      <c r="A7" s="14" t="s">
        <v>43</v>
      </c>
      <c r="B7" s="15" t="s">
        <v>15</v>
      </c>
      <c r="C7" s="15" t="s">
        <v>12</v>
      </c>
      <c r="D7" s="25" t="s">
        <v>64</v>
      </c>
      <c r="E7" s="31">
        <f>IF(C7="Entry",INDEX('Tariff calculation'!$H$2:$H$10,MATCH('Main sheet'!D7,'Tariff calculation'!$A$2:$A$10,0),1),INDEX('Tariff calculation'!$H$16:$H$23,MATCH('Main sheet'!D7,'Tariff calculation'!$A$16:$A$23,0),1))</f>
        <v>0.41954389267487641</v>
      </c>
      <c r="F7" s="28">
        <v>0.1</v>
      </c>
      <c r="G7" s="37">
        <v>4</v>
      </c>
      <c r="H7" s="16">
        <v>0</v>
      </c>
      <c r="I7" s="16">
        <v>0</v>
      </c>
      <c r="J7" s="16">
        <v>0</v>
      </c>
      <c r="K7" s="38">
        <v>0</v>
      </c>
      <c r="L7" s="37">
        <v>0</v>
      </c>
      <c r="M7" s="16">
        <v>0</v>
      </c>
      <c r="N7" s="16">
        <v>0</v>
      </c>
      <c r="O7" s="16">
        <v>0</v>
      </c>
      <c r="P7" s="38">
        <v>0</v>
      </c>
      <c r="Q7" s="42">
        <f t="shared" si="0"/>
        <v>4</v>
      </c>
      <c r="R7" s="17">
        <f>'Main sheet'!G7+SUMPRODUCT(H7:K7,Parameters!$B$2:$E$2)+(1-'Main sheet'!F7)*('Main sheet'!L7+SUMPRODUCT('Main sheet'!M7:P7,Parameters!$B$2:$E$2))</f>
        <v>4</v>
      </c>
    </row>
    <row r="8" spans="1:18" x14ac:dyDescent="0.25">
      <c r="A8" s="14" t="s">
        <v>42</v>
      </c>
      <c r="B8" s="15" t="s">
        <v>15</v>
      </c>
      <c r="C8" s="15" t="s">
        <v>13</v>
      </c>
      <c r="D8" s="25" t="s">
        <v>65</v>
      </c>
      <c r="E8" s="31">
        <f>IF(C8="Entry",INDEX('Tariff calculation'!$H$2:$H$10,MATCH('Main sheet'!D8,'Tariff calculation'!$A$2:$A$10,0),1),INDEX('Tariff calculation'!$H$16:$H$23,MATCH('Main sheet'!D8,'Tariff calculation'!$A$16:$A$23,0),1))</f>
        <v>0.22424770813204534</v>
      </c>
      <c r="F8" s="28">
        <v>0.1</v>
      </c>
      <c r="G8" s="37">
        <v>2</v>
      </c>
      <c r="H8" s="16">
        <v>0</v>
      </c>
      <c r="I8" s="16">
        <v>0</v>
      </c>
      <c r="J8" s="16">
        <v>0</v>
      </c>
      <c r="K8" s="38">
        <v>0</v>
      </c>
      <c r="L8" s="37">
        <v>0</v>
      </c>
      <c r="M8" s="16">
        <v>0</v>
      </c>
      <c r="N8" s="16">
        <v>0</v>
      </c>
      <c r="O8" s="16">
        <v>0</v>
      </c>
      <c r="P8" s="38">
        <v>0</v>
      </c>
      <c r="Q8" s="42">
        <f t="shared" si="0"/>
        <v>2</v>
      </c>
      <c r="R8" s="17">
        <f>'Main sheet'!G8+SUMPRODUCT(H8:K8,Parameters!$B$2:$E$2)+(1-'Main sheet'!F8)*('Main sheet'!L8+SUMPRODUCT('Main sheet'!M8:P8,Parameters!$B$2:$E$2))</f>
        <v>2</v>
      </c>
    </row>
    <row r="9" spans="1:18" x14ac:dyDescent="0.25">
      <c r="A9" s="14" t="s">
        <v>0</v>
      </c>
      <c r="B9" s="15" t="s">
        <v>17</v>
      </c>
      <c r="C9" s="15" t="s">
        <v>12</v>
      </c>
      <c r="D9" s="25" t="s">
        <v>17</v>
      </c>
      <c r="E9" s="31">
        <f>IF(C9="Entry",INDEX('Tariff calculation'!$H$2:$H$10,MATCH('Main sheet'!D9,'Tariff calculation'!$A$2:$A$10,0),1),INDEX('Tariff calculation'!$H$16:$H$23,MATCH('Main sheet'!D9,'Tariff calculation'!$A$16:$A$23,0),1))</f>
        <v>1.0729759001360681</v>
      </c>
      <c r="F9" s="28">
        <v>0.1</v>
      </c>
      <c r="G9" s="37">
        <v>4</v>
      </c>
      <c r="H9" s="16">
        <v>0</v>
      </c>
      <c r="I9" s="16">
        <v>0</v>
      </c>
      <c r="J9" s="16">
        <v>0</v>
      </c>
      <c r="K9" s="38">
        <v>0</v>
      </c>
      <c r="L9" s="37">
        <v>0</v>
      </c>
      <c r="M9" s="16">
        <v>0</v>
      </c>
      <c r="N9" s="16">
        <v>0</v>
      </c>
      <c r="O9" s="16">
        <v>0</v>
      </c>
      <c r="P9" s="38">
        <v>0</v>
      </c>
      <c r="Q9" s="42">
        <f t="shared" si="0"/>
        <v>4</v>
      </c>
      <c r="R9" s="17">
        <f>'Main sheet'!G9+SUMPRODUCT(H9:K9,Parameters!$B$2:$E$2)+(1-'Main sheet'!F9)*('Main sheet'!L9+SUMPRODUCT('Main sheet'!M9:P9,Parameters!$B$2:$E$2))</f>
        <v>4</v>
      </c>
    </row>
    <row r="10" spans="1:18" x14ac:dyDescent="0.25">
      <c r="A10" s="14" t="s">
        <v>1</v>
      </c>
      <c r="B10" s="15" t="s">
        <v>17</v>
      </c>
      <c r="C10" s="15" t="s">
        <v>12</v>
      </c>
      <c r="D10" s="25" t="s">
        <v>17</v>
      </c>
      <c r="E10" s="31">
        <f>IF(C10="Entry",INDEX('Tariff calculation'!$H$2:$H$10,MATCH('Main sheet'!D10,'Tariff calculation'!$A$2:$A$10,0),1),INDEX('Tariff calculation'!$H$16:$H$23,MATCH('Main sheet'!D10,'Tariff calculation'!$A$16:$A$23,0),1))</f>
        <v>1.0729759001360681</v>
      </c>
      <c r="F10" s="28">
        <v>0.1</v>
      </c>
      <c r="G10" s="37">
        <v>6</v>
      </c>
      <c r="H10" s="16">
        <v>0</v>
      </c>
      <c r="I10" s="16">
        <v>0</v>
      </c>
      <c r="J10" s="16">
        <v>0</v>
      </c>
      <c r="K10" s="38">
        <v>0</v>
      </c>
      <c r="L10" s="37">
        <v>0</v>
      </c>
      <c r="M10" s="16">
        <v>0</v>
      </c>
      <c r="N10" s="16">
        <v>0</v>
      </c>
      <c r="O10" s="16">
        <v>0</v>
      </c>
      <c r="P10" s="38">
        <v>0</v>
      </c>
      <c r="Q10" s="42">
        <f t="shared" si="0"/>
        <v>6</v>
      </c>
      <c r="R10" s="17">
        <f>'Main sheet'!G10+SUMPRODUCT(H10:K10,Parameters!$B$2:$E$2)+(1-'Main sheet'!F10)*('Main sheet'!L10+SUMPRODUCT('Main sheet'!M10:P10,Parameters!$B$2:$E$2))</f>
        <v>6</v>
      </c>
    </row>
    <row r="11" spans="1:18" x14ac:dyDescent="0.25">
      <c r="A11" s="14" t="s">
        <v>2</v>
      </c>
      <c r="B11" s="15" t="s">
        <v>18</v>
      </c>
      <c r="C11" s="15" t="s">
        <v>12</v>
      </c>
      <c r="D11" s="25" t="s">
        <v>18</v>
      </c>
      <c r="E11" s="31">
        <f>IF(C11="Entry",INDEX('Tariff calculation'!$H$2:$H$10,MATCH('Main sheet'!D11,'Tariff calculation'!$A$2:$A$10,0),1),INDEX('Tariff calculation'!$H$16:$H$23,MATCH('Main sheet'!D11,'Tariff calculation'!$A$16:$A$23,0),1))</f>
        <v>1.7550426354192645</v>
      </c>
      <c r="F11" s="28">
        <v>0.1</v>
      </c>
      <c r="G11" s="37">
        <v>30</v>
      </c>
      <c r="H11" s="16">
        <v>0</v>
      </c>
      <c r="I11" s="16">
        <v>0</v>
      </c>
      <c r="J11" s="16">
        <v>0</v>
      </c>
      <c r="K11" s="38">
        <v>0</v>
      </c>
      <c r="L11" s="37">
        <v>0</v>
      </c>
      <c r="M11" s="16">
        <v>0</v>
      </c>
      <c r="N11" s="16">
        <v>0</v>
      </c>
      <c r="O11" s="16">
        <v>0</v>
      </c>
      <c r="P11" s="38">
        <v>0</v>
      </c>
      <c r="Q11" s="42">
        <f t="shared" si="0"/>
        <v>30</v>
      </c>
      <c r="R11" s="17">
        <f>'Main sheet'!G11+SUMPRODUCT(H11:K11,Parameters!$B$2:$E$2)+(1-'Main sheet'!F11)*('Main sheet'!L11+SUMPRODUCT('Main sheet'!M11:P11,Parameters!$B$2:$E$2))</f>
        <v>30</v>
      </c>
    </row>
    <row r="12" spans="1:18" x14ac:dyDescent="0.25">
      <c r="A12" s="14" t="s">
        <v>3</v>
      </c>
      <c r="B12" s="15" t="s">
        <v>17</v>
      </c>
      <c r="C12" s="15" t="s">
        <v>12</v>
      </c>
      <c r="D12" s="25" t="s">
        <v>17</v>
      </c>
      <c r="E12" s="31">
        <f>IF(C12="Entry",INDEX('Tariff calculation'!$H$2:$H$10,MATCH('Main sheet'!D12,'Tariff calculation'!$A$2:$A$10,0),1),INDEX('Tariff calculation'!$H$16:$H$23,MATCH('Main sheet'!D12,'Tariff calculation'!$A$16:$A$23,0),1))</f>
        <v>1.0729759001360681</v>
      </c>
      <c r="F12" s="28">
        <v>0.1</v>
      </c>
      <c r="G12" s="37">
        <v>20</v>
      </c>
      <c r="H12" s="16">
        <v>0</v>
      </c>
      <c r="I12" s="16">
        <v>0</v>
      </c>
      <c r="J12" s="16">
        <v>0</v>
      </c>
      <c r="K12" s="38">
        <v>0</v>
      </c>
      <c r="L12" s="37">
        <v>0</v>
      </c>
      <c r="M12" s="16">
        <v>0</v>
      </c>
      <c r="N12" s="16">
        <v>0</v>
      </c>
      <c r="O12" s="16">
        <v>0</v>
      </c>
      <c r="P12" s="38">
        <v>0</v>
      </c>
      <c r="Q12" s="42">
        <f t="shared" si="0"/>
        <v>20</v>
      </c>
      <c r="R12" s="17">
        <f>'Main sheet'!G12+SUMPRODUCT(H12:K12,Parameters!$B$2:$E$2)+(1-'Main sheet'!F12)*('Main sheet'!L12+SUMPRODUCT('Main sheet'!M12:P12,Parameters!$B$2:$E$2))</f>
        <v>20</v>
      </c>
    </row>
    <row r="13" spans="1:18" x14ac:dyDescent="0.25">
      <c r="A13" s="14" t="s">
        <v>4</v>
      </c>
      <c r="B13" s="15" t="s">
        <v>19</v>
      </c>
      <c r="C13" s="15" t="s">
        <v>13</v>
      </c>
      <c r="D13" s="25" t="s">
        <v>66</v>
      </c>
      <c r="E13" s="31">
        <f>IF(C13="Entry",INDEX('Tariff calculation'!$H$2:$H$10,MATCH('Main sheet'!D13,'Tariff calculation'!$A$2:$A$10,0),1),INDEX('Tariff calculation'!$H$16:$H$23,MATCH('Main sheet'!D13,'Tariff calculation'!$A$16:$A$23,0),1))</f>
        <v>1.0027873589093412</v>
      </c>
      <c r="F13" s="28">
        <v>0.1</v>
      </c>
      <c r="G13" s="37">
        <v>60</v>
      </c>
      <c r="H13" s="16">
        <v>0</v>
      </c>
      <c r="I13" s="16">
        <v>0</v>
      </c>
      <c r="J13" s="16">
        <v>0</v>
      </c>
      <c r="K13" s="38">
        <v>0</v>
      </c>
      <c r="L13" s="37">
        <v>0</v>
      </c>
      <c r="M13" s="16">
        <v>0</v>
      </c>
      <c r="N13" s="16">
        <v>0</v>
      </c>
      <c r="O13" s="16">
        <v>0</v>
      </c>
      <c r="P13" s="38">
        <v>0</v>
      </c>
      <c r="Q13" s="42">
        <f t="shared" si="0"/>
        <v>60</v>
      </c>
      <c r="R13" s="17">
        <f>'Main sheet'!G13+SUMPRODUCT(H13:K13,Parameters!$B$2:$E$2)+(1-'Main sheet'!F13)*('Main sheet'!L13+SUMPRODUCT('Main sheet'!M13:P13,Parameters!$B$2:$E$2))</f>
        <v>60</v>
      </c>
    </row>
    <row r="14" spans="1:18" x14ac:dyDescent="0.25">
      <c r="A14" s="14" t="s">
        <v>45</v>
      </c>
      <c r="B14" s="15" t="s">
        <v>16</v>
      </c>
      <c r="C14" s="15" t="s">
        <v>12</v>
      </c>
      <c r="D14" s="25" t="s">
        <v>45</v>
      </c>
      <c r="E14" s="31">
        <f>IF(C14="Entry",INDEX('Tariff calculation'!$H$2:$H$10,MATCH('Main sheet'!D14,'Tariff calculation'!$A$2:$A$10,0),1),INDEX('Tariff calculation'!$H$16:$H$23,MATCH('Main sheet'!D14,'Tariff calculation'!$A$16:$A$23,0),1))</f>
        <v>1.5305386615339598</v>
      </c>
      <c r="F14" s="28">
        <v>0.1</v>
      </c>
      <c r="G14" s="37">
        <v>3</v>
      </c>
      <c r="H14" s="16">
        <v>0</v>
      </c>
      <c r="I14" s="16">
        <v>0</v>
      </c>
      <c r="J14" s="16">
        <v>0</v>
      </c>
      <c r="K14" s="38">
        <v>0</v>
      </c>
      <c r="L14" s="37">
        <v>0</v>
      </c>
      <c r="M14" s="16">
        <v>0</v>
      </c>
      <c r="N14" s="16">
        <v>0</v>
      </c>
      <c r="O14" s="16">
        <v>0</v>
      </c>
      <c r="P14" s="38">
        <v>0</v>
      </c>
      <c r="Q14" s="42">
        <f t="shared" si="0"/>
        <v>3</v>
      </c>
      <c r="R14" s="17">
        <f>'Main sheet'!G14+SUMPRODUCT(H14:K14,Parameters!$B$2:$E$2)+(1-'Main sheet'!F14)*('Main sheet'!L14+SUMPRODUCT('Main sheet'!M14:P14,Parameters!$B$2:$E$2))</f>
        <v>3</v>
      </c>
    </row>
    <row r="15" spans="1:18" x14ac:dyDescent="0.25">
      <c r="A15" s="14" t="s">
        <v>44</v>
      </c>
      <c r="B15" s="15" t="s">
        <v>16</v>
      </c>
      <c r="C15" s="15" t="s">
        <v>13</v>
      </c>
      <c r="D15" s="25" t="s">
        <v>44</v>
      </c>
      <c r="E15" s="31">
        <f>IF(C15="Entry",INDEX('Tariff calculation'!$H$2:$H$10,MATCH('Main sheet'!D15,'Tariff calculation'!$A$2:$A$10,0),1),INDEX('Tariff calculation'!$H$16:$H$23,MATCH('Main sheet'!D15,'Tariff calculation'!$A$16:$A$23,0),1))</f>
        <v>1.3762420064141854</v>
      </c>
      <c r="F15" s="28">
        <v>0.1</v>
      </c>
      <c r="G15" s="37">
        <v>50</v>
      </c>
      <c r="H15" s="16">
        <v>0</v>
      </c>
      <c r="I15" s="16">
        <v>0</v>
      </c>
      <c r="J15" s="16">
        <v>0</v>
      </c>
      <c r="K15" s="38">
        <v>0</v>
      </c>
      <c r="L15" s="37">
        <v>0</v>
      </c>
      <c r="M15" s="16">
        <v>0</v>
      </c>
      <c r="N15" s="16">
        <v>0</v>
      </c>
      <c r="O15" s="16">
        <v>0</v>
      </c>
      <c r="P15" s="38">
        <v>0</v>
      </c>
      <c r="Q15" s="42">
        <f t="shared" si="0"/>
        <v>50</v>
      </c>
      <c r="R15" s="17">
        <f>'Main sheet'!G15+SUMPRODUCT(H15:K15,Parameters!$B$2:$E$2)+(1-'Main sheet'!F15)*('Main sheet'!L15+SUMPRODUCT('Main sheet'!M15:P15,Parameters!$B$2:$E$2))</f>
        <v>50</v>
      </c>
    </row>
    <row r="16" spans="1:18" x14ac:dyDescent="0.25">
      <c r="A16" s="14" t="s">
        <v>5</v>
      </c>
      <c r="B16" s="15" t="s">
        <v>16</v>
      </c>
      <c r="C16" s="15" t="s">
        <v>12</v>
      </c>
      <c r="D16" s="25" t="s">
        <v>5</v>
      </c>
      <c r="E16" s="31">
        <f>IF(C16="Entry",INDEX('Tariff calculation'!$H$2:$H$10,MATCH('Main sheet'!D16,'Tariff calculation'!$A$2:$A$10,0),1),INDEX('Tariff calculation'!$H$16:$H$23,MATCH('Main sheet'!D16,'Tariff calculation'!$A$16:$A$23,0),1))</f>
        <v>1.6782065901417387</v>
      </c>
      <c r="F16" s="28">
        <v>0.1</v>
      </c>
      <c r="G16" s="37">
        <v>8</v>
      </c>
      <c r="H16" s="16">
        <v>0</v>
      </c>
      <c r="I16" s="16">
        <v>0</v>
      </c>
      <c r="J16" s="16">
        <v>0</v>
      </c>
      <c r="K16" s="38">
        <v>0</v>
      </c>
      <c r="L16" s="37">
        <v>0</v>
      </c>
      <c r="M16" s="16">
        <v>0</v>
      </c>
      <c r="N16" s="16">
        <v>0</v>
      </c>
      <c r="O16" s="16">
        <v>0</v>
      </c>
      <c r="P16" s="38">
        <v>0</v>
      </c>
      <c r="Q16" s="42">
        <f t="shared" si="0"/>
        <v>8</v>
      </c>
      <c r="R16" s="17">
        <f>'Main sheet'!G16+SUMPRODUCT(H16:K16,Parameters!$B$2:$E$2)+(1-'Main sheet'!F16)*('Main sheet'!L16+SUMPRODUCT('Main sheet'!M16:P16,Parameters!$B$2:$E$2))</f>
        <v>8</v>
      </c>
    </row>
    <row r="17" spans="1:18" x14ac:dyDescent="0.25">
      <c r="A17" s="14" t="s">
        <v>46</v>
      </c>
      <c r="B17" s="15" t="s">
        <v>16</v>
      </c>
      <c r="C17" s="15" t="s">
        <v>12</v>
      </c>
      <c r="D17" s="25" t="s">
        <v>46</v>
      </c>
      <c r="E17" s="31">
        <f>IF(C17="Entry",INDEX('Tariff calculation'!$H$2:$H$10,MATCH('Main sheet'!D17,'Tariff calculation'!$A$2:$A$10,0),1),INDEX('Tariff calculation'!$H$16:$H$23,MATCH('Main sheet'!D17,'Tariff calculation'!$A$16:$A$23,0),1))</f>
        <v>1.7833110852977208</v>
      </c>
      <c r="F17" s="28">
        <v>0.1</v>
      </c>
      <c r="G17" s="37">
        <v>60</v>
      </c>
      <c r="H17" s="16">
        <v>0</v>
      </c>
      <c r="I17" s="16">
        <v>0</v>
      </c>
      <c r="J17" s="16">
        <v>0</v>
      </c>
      <c r="K17" s="38">
        <v>0</v>
      </c>
      <c r="L17" s="37">
        <v>0</v>
      </c>
      <c r="M17" s="16">
        <v>0</v>
      </c>
      <c r="N17" s="16">
        <v>0</v>
      </c>
      <c r="O17" s="16">
        <v>0</v>
      </c>
      <c r="P17" s="38">
        <v>0</v>
      </c>
      <c r="Q17" s="42">
        <f t="shared" si="0"/>
        <v>60</v>
      </c>
      <c r="R17" s="17">
        <f>'Main sheet'!G17+SUMPRODUCT(H17:K17,Parameters!$B$2:$E$2)+(1-'Main sheet'!F17)*('Main sheet'!L17+SUMPRODUCT('Main sheet'!M17:P17,Parameters!$B$2:$E$2))</f>
        <v>60</v>
      </c>
    </row>
    <row r="18" spans="1:18" x14ac:dyDescent="0.25">
      <c r="A18" s="14" t="s">
        <v>47</v>
      </c>
      <c r="B18" s="15" t="s">
        <v>16</v>
      </c>
      <c r="C18" s="15" t="s">
        <v>13</v>
      </c>
      <c r="D18" s="25" t="s">
        <v>47</v>
      </c>
      <c r="E18" s="31">
        <f>IF(C18="Entry",INDEX('Tariff calculation'!$H$2:$H$10,MATCH('Main sheet'!D18,'Tariff calculation'!$A$2:$A$10,0),1),INDEX('Tariff calculation'!$H$16:$H$23,MATCH('Main sheet'!D18,'Tariff calculation'!$A$16:$A$23,0),1))</f>
        <v>1.4404579122271062</v>
      </c>
      <c r="F18" s="28">
        <v>0.1</v>
      </c>
      <c r="G18" s="37">
        <v>40</v>
      </c>
      <c r="H18" s="16">
        <v>0</v>
      </c>
      <c r="I18" s="16">
        <v>0</v>
      </c>
      <c r="J18" s="16">
        <v>0</v>
      </c>
      <c r="K18" s="38">
        <v>0</v>
      </c>
      <c r="L18" s="37">
        <v>0</v>
      </c>
      <c r="M18" s="16">
        <v>0</v>
      </c>
      <c r="N18" s="16">
        <v>0</v>
      </c>
      <c r="O18" s="16">
        <v>0</v>
      </c>
      <c r="P18" s="38">
        <v>0</v>
      </c>
      <c r="Q18" s="42">
        <f t="shared" si="0"/>
        <v>40</v>
      </c>
      <c r="R18" s="17">
        <f>'Main sheet'!G18+SUMPRODUCT(H18:K18,Parameters!$B$2:$E$2)+(1-'Main sheet'!F18)*('Main sheet'!L18+SUMPRODUCT('Main sheet'!M18:P18,Parameters!$B$2:$E$2))</f>
        <v>40</v>
      </c>
    </row>
    <row r="19" spans="1:18" x14ac:dyDescent="0.25">
      <c r="A19" s="14" t="s">
        <v>6</v>
      </c>
      <c r="B19" s="15" t="s">
        <v>18</v>
      </c>
      <c r="C19" s="15" t="s">
        <v>12</v>
      </c>
      <c r="D19" s="25" t="s">
        <v>18</v>
      </c>
      <c r="E19" s="31">
        <f>IF(C19="Entry",INDEX('Tariff calculation'!$H$2:$H$10,MATCH('Main sheet'!D19,'Tariff calculation'!$A$2:$A$10,0),1),INDEX('Tariff calculation'!$H$16:$H$23,MATCH('Main sheet'!D19,'Tariff calculation'!$A$16:$A$23,0),1))</f>
        <v>1.7550426354192645</v>
      </c>
      <c r="F19" s="28">
        <v>0.1</v>
      </c>
      <c r="G19" s="37">
        <v>30</v>
      </c>
      <c r="H19" s="16">
        <v>0</v>
      </c>
      <c r="I19" s="16">
        <v>0</v>
      </c>
      <c r="J19" s="16">
        <v>0</v>
      </c>
      <c r="K19" s="38">
        <v>0</v>
      </c>
      <c r="L19" s="37">
        <v>0</v>
      </c>
      <c r="M19" s="16">
        <v>0</v>
      </c>
      <c r="N19" s="16">
        <v>0</v>
      </c>
      <c r="O19" s="16">
        <v>0</v>
      </c>
      <c r="P19" s="38">
        <v>0</v>
      </c>
      <c r="Q19" s="42">
        <f t="shared" si="0"/>
        <v>30</v>
      </c>
      <c r="R19" s="17">
        <f>'Main sheet'!G19+SUMPRODUCT(H19:K19,Parameters!$B$2:$E$2)+(1-'Main sheet'!F19)*('Main sheet'!L19+SUMPRODUCT('Main sheet'!M19:P19,Parameters!$B$2:$E$2))</f>
        <v>30</v>
      </c>
    </row>
    <row r="20" spans="1:18" x14ac:dyDescent="0.25">
      <c r="A20" s="14" t="s">
        <v>49</v>
      </c>
      <c r="B20" s="15" t="s">
        <v>16</v>
      </c>
      <c r="C20" s="15" t="s">
        <v>12</v>
      </c>
      <c r="D20" s="25" t="s">
        <v>49</v>
      </c>
      <c r="E20" s="31">
        <f>IF(C20="Entry",INDEX('Tariff calculation'!$H$2:$H$10,MATCH('Main sheet'!D20,'Tariff calculation'!$A$2:$A$10,0),1),INDEX('Tariff calculation'!$H$16:$H$23,MATCH('Main sheet'!D20,'Tariff calculation'!$A$16:$A$23,0),1))</f>
        <v>1.5663692456273111</v>
      </c>
      <c r="F20" s="28">
        <v>0.1</v>
      </c>
      <c r="G20" s="37">
        <v>80</v>
      </c>
      <c r="H20" s="16">
        <v>0</v>
      </c>
      <c r="I20" s="16">
        <v>0</v>
      </c>
      <c r="J20" s="16">
        <v>0</v>
      </c>
      <c r="K20" s="38">
        <v>0</v>
      </c>
      <c r="L20" s="37">
        <v>0</v>
      </c>
      <c r="M20" s="16">
        <v>0</v>
      </c>
      <c r="N20" s="16">
        <v>0</v>
      </c>
      <c r="O20" s="16">
        <v>0</v>
      </c>
      <c r="P20" s="38">
        <v>0</v>
      </c>
      <c r="Q20" s="42">
        <f t="shared" si="0"/>
        <v>80</v>
      </c>
      <c r="R20" s="17">
        <f>'Main sheet'!G20+SUMPRODUCT(H20:K20,Parameters!$B$2:$E$2)+(1-'Main sheet'!F20)*('Main sheet'!L20+SUMPRODUCT('Main sheet'!M20:P20,Parameters!$B$2:$E$2))</f>
        <v>80</v>
      </c>
    </row>
    <row r="21" spans="1:18" x14ac:dyDescent="0.25">
      <c r="A21" s="14" t="s">
        <v>48</v>
      </c>
      <c r="B21" s="15" t="s">
        <v>16</v>
      </c>
      <c r="C21" s="15" t="s">
        <v>13</v>
      </c>
      <c r="D21" s="25" t="s">
        <v>48</v>
      </c>
      <c r="E21" s="31">
        <f>IF(C21="Entry",INDEX('Tariff calculation'!$H$2:$H$10,MATCH('Main sheet'!D21,'Tariff calculation'!$A$2:$A$10,0),1),INDEX('Tariff calculation'!$H$16:$H$23,MATCH('Main sheet'!D21,'Tariff calculation'!$A$16:$A$23,0),1))</f>
        <v>1.1842187540493623</v>
      </c>
      <c r="F21" s="28">
        <v>0.1</v>
      </c>
      <c r="G21" s="37">
        <v>90</v>
      </c>
      <c r="H21" s="16">
        <v>0</v>
      </c>
      <c r="I21" s="16">
        <v>0</v>
      </c>
      <c r="J21" s="16">
        <v>0</v>
      </c>
      <c r="K21" s="38">
        <v>0</v>
      </c>
      <c r="L21" s="37">
        <v>0</v>
      </c>
      <c r="M21" s="16">
        <v>0</v>
      </c>
      <c r="N21" s="16">
        <v>0</v>
      </c>
      <c r="O21" s="16">
        <v>0</v>
      </c>
      <c r="P21" s="38">
        <v>0</v>
      </c>
      <c r="Q21" s="42">
        <f t="shared" si="0"/>
        <v>90</v>
      </c>
      <c r="R21" s="17">
        <f>'Main sheet'!G21+SUMPRODUCT(H21:K21,Parameters!$B$2:$E$2)+(1-'Main sheet'!F21)*('Main sheet'!L21+SUMPRODUCT('Main sheet'!M21:P21,Parameters!$B$2:$E$2))</f>
        <v>90</v>
      </c>
    </row>
    <row r="22" spans="1:18" x14ac:dyDescent="0.25">
      <c r="A22" s="14" t="s">
        <v>7</v>
      </c>
      <c r="B22" s="15" t="s">
        <v>19</v>
      </c>
      <c r="C22" s="15" t="s">
        <v>13</v>
      </c>
      <c r="D22" s="25" t="s">
        <v>67</v>
      </c>
      <c r="E22" s="31">
        <f>IF(C22="Entry",INDEX('Tariff calculation'!$H$2:$H$10,MATCH('Main sheet'!D22,'Tariff calculation'!$A$2:$A$10,0),1),INDEX('Tariff calculation'!$H$16:$H$23,MATCH('Main sheet'!D22,'Tariff calculation'!$A$16:$A$23,0),1))</f>
        <v>0.79987917136976694</v>
      </c>
      <c r="F22" s="28">
        <v>0.1</v>
      </c>
      <c r="G22" s="37">
        <v>10</v>
      </c>
      <c r="H22" s="16">
        <v>0</v>
      </c>
      <c r="I22" s="16">
        <v>0</v>
      </c>
      <c r="J22" s="16">
        <v>0</v>
      </c>
      <c r="K22" s="38">
        <v>0</v>
      </c>
      <c r="L22" s="37">
        <v>0</v>
      </c>
      <c r="M22" s="16">
        <v>0</v>
      </c>
      <c r="N22" s="16">
        <v>0</v>
      </c>
      <c r="O22" s="16">
        <v>0</v>
      </c>
      <c r="P22" s="38">
        <v>0</v>
      </c>
      <c r="Q22" s="42">
        <f t="shared" si="0"/>
        <v>10</v>
      </c>
      <c r="R22" s="17">
        <f>'Main sheet'!G22+SUMPRODUCT(H22:K22,Parameters!$B$2:$E$2)+(1-'Main sheet'!F22)*('Main sheet'!L22+SUMPRODUCT('Main sheet'!M22:P22,Parameters!$B$2:$E$2))</f>
        <v>10</v>
      </c>
    </row>
    <row r="23" spans="1:18" x14ac:dyDescent="0.25">
      <c r="A23" s="14" t="s">
        <v>8</v>
      </c>
      <c r="B23" s="15" t="s">
        <v>19</v>
      </c>
      <c r="C23" s="15" t="s">
        <v>13</v>
      </c>
      <c r="D23" s="25" t="s">
        <v>67</v>
      </c>
      <c r="E23" s="31">
        <f>IF(C23="Entry",INDEX('Tariff calculation'!$H$2:$H$10,MATCH('Main sheet'!D23,'Tariff calculation'!$A$2:$A$10,0),1),INDEX('Tariff calculation'!$H$16:$H$23,MATCH('Main sheet'!D23,'Tariff calculation'!$A$16:$A$23,0),1))</f>
        <v>0.79987917136976694</v>
      </c>
      <c r="F23" s="28">
        <v>0.1</v>
      </c>
      <c r="G23" s="37">
        <v>50</v>
      </c>
      <c r="H23" s="16">
        <v>0</v>
      </c>
      <c r="I23" s="16">
        <v>0</v>
      </c>
      <c r="J23" s="16">
        <v>0</v>
      </c>
      <c r="K23" s="38">
        <v>0</v>
      </c>
      <c r="L23" s="37">
        <v>0</v>
      </c>
      <c r="M23" s="16">
        <v>0</v>
      </c>
      <c r="N23" s="16">
        <v>0</v>
      </c>
      <c r="O23" s="16">
        <v>0</v>
      </c>
      <c r="P23" s="38">
        <v>0</v>
      </c>
      <c r="Q23" s="42">
        <f t="shared" si="0"/>
        <v>50</v>
      </c>
      <c r="R23" s="17">
        <f>'Main sheet'!G23+SUMPRODUCT(H23:K23,Parameters!$B$2:$E$2)+(1-'Main sheet'!F23)*('Main sheet'!L23+SUMPRODUCT('Main sheet'!M23:P23,Parameters!$B$2:$E$2))</f>
        <v>50</v>
      </c>
    </row>
    <row r="24" spans="1:18" x14ac:dyDescent="0.25">
      <c r="A24" s="14" t="s">
        <v>9</v>
      </c>
      <c r="B24" s="15" t="s">
        <v>19</v>
      </c>
      <c r="C24" s="15" t="s">
        <v>13</v>
      </c>
      <c r="D24" s="25" t="s">
        <v>66</v>
      </c>
      <c r="E24" s="31">
        <f>IF(C24="Entry",INDEX('Tariff calculation'!$H$2:$H$10,MATCH('Main sheet'!D24,'Tariff calculation'!$A$2:$A$10,0),1),INDEX('Tariff calculation'!$H$16:$H$23,MATCH('Main sheet'!D24,'Tariff calculation'!$A$16:$A$23,0),1))</f>
        <v>1.0027873589093412</v>
      </c>
      <c r="F24" s="28">
        <v>0.1</v>
      </c>
      <c r="G24" s="37">
        <v>10</v>
      </c>
      <c r="H24" s="16">
        <v>0</v>
      </c>
      <c r="I24" s="16">
        <v>0</v>
      </c>
      <c r="J24" s="16">
        <v>0</v>
      </c>
      <c r="K24" s="38">
        <v>0</v>
      </c>
      <c r="L24" s="37">
        <v>0</v>
      </c>
      <c r="M24" s="16">
        <v>0</v>
      </c>
      <c r="N24" s="16">
        <v>0</v>
      </c>
      <c r="O24" s="16">
        <v>0</v>
      </c>
      <c r="P24" s="38">
        <v>0</v>
      </c>
      <c r="Q24" s="42">
        <f t="shared" si="0"/>
        <v>10</v>
      </c>
      <c r="R24" s="17">
        <f>'Main sheet'!G24+SUMPRODUCT(H24:K24,Parameters!$B$2:$E$2)+(1-'Main sheet'!F24)*('Main sheet'!L24+SUMPRODUCT('Main sheet'!M24:P24,Parameters!$B$2:$E$2))</f>
        <v>10</v>
      </c>
    </row>
    <row r="25" spans="1:18" x14ac:dyDescent="0.25">
      <c r="A25" s="14" t="s">
        <v>10</v>
      </c>
      <c r="B25" s="15" t="s">
        <v>16</v>
      </c>
      <c r="C25" s="15" t="s">
        <v>12</v>
      </c>
      <c r="D25" s="25" t="s">
        <v>10</v>
      </c>
      <c r="E25" s="31">
        <f>IF(C25="Entry",INDEX('Tariff calculation'!$H$2:$H$10,MATCH('Main sheet'!D25,'Tariff calculation'!$A$2:$A$10,0),1),INDEX('Tariff calculation'!$H$16:$H$23,MATCH('Main sheet'!D25,'Tariff calculation'!$A$16:$A$23,0),1))</f>
        <v>0.41754982821416475</v>
      </c>
      <c r="F25" s="28">
        <v>0.1</v>
      </c>
      <c r="G25" s="37">
        <v>20</v>
      </c>
      <c r="H25" s="16">
        <v>0</v>
      </c>
      <c r="I25" s="16">
        <v>0</v>
      </c>
      <c r="J25" s="16">
        <v>0</v>
      </c>
      <c r="K25" s="38">
        <v>0</v>
      </c>
      <c r="L25" s="37">
        <v>0</v>
      </c>
      <c r="M25" s="16">
        <v>0</v>
      </c>
      <c r="N25" s="16">
        <v>0</v>
      </c>
      <c r="O25" s="16">
        <v>0</v>
      </c>
      <c r="P25" s="38">
        <v>0</v>
      </c>
      <c r="Q25" s="42">
        <f t="shared" si="0"/>
        <v>20</v>
      </c>
      <c r="R25" s="17">
        <f>'Main sheet'!G25+SUMPRODUCT(H25:K25,Parameters!$B$2:$E$2)+(1-'Main sheet'!F25)*('Main sheet'!L25+SUMPRODUCT('Main sheet'!M25:P25,Parameters!$B$2:$E$2))</f>
        <v>20</v>
      </c>
    </row>
    <row r="26" spans="1:18" ht="15.75" thickBot="1" x14ac:dyDescent="0.3">
      <c r="A26" s="18" t="s">
        <v>11</v>
      </c>
      <c r="B26" s="19" t="s">
        <v>16</v>
      </c>
      <c r="C26" s="19" t="s">
        <v>13</v>
      </c>
      <c r="D26" s="26" t="s">
        <v>11</v>
      </c>
      <c r="E26" s="32">
        <f>IF(C26="Entry",INDEX('Tariff calculation'!$H$2:$H$10,MATCH('Main sheet'!D26,'Tariff calculation'!$A$2:$A$10,0),1),INDEX('Tariff calculation'!$H$16:$H$23,MATCH('Main sheet'!D26,'Tariff calculation'!$A$16:$A$23,0),1))</f>
        <v>0.4238996873576133</v>
      </c>
      <c r="F26" s="29">
        <v>0.1</v>
      </c>
      <c r="G26" s="39">
        <v>24</v>
      </c>
      <c r="H26" s="20">
        <v>0</v>
      </c>
      <c r="I26" s="20">
        <v>0</v>
      </c>
      <c r="J26" s="20">
        <v>0</v>
      </c>
      <c r="K26" s="40">
        <v>0</v>
      </c>
      <c r="L26" s="39">
        <v>0</v>
      </c>
      <c r="M26" s="20">
        <v>0</v>
      </c>
      <c r="N26" s="20">
        <v>0</v>
      </c>
      <c r="O26" s="20">
        <v>0</v>
      </c>
      <c r="P26" s="40">
        <v>0</v>
      </c>
      <c r="Q26" s="43">
        <f t="shared" si="0"/>
        <v>24</v>
      </c>
      <c r="R26" s="21">
        <f>'Main sheet'!G26+SUMPRODUCT(H26:K26,Parameters!$B$2:$E$2)+(1-'Main sheet'!F26)*('Main sheet'!L26+SUMPRODUCT('Main sheet'!M26:P26,Parameters!$B$2:$E$2))</f>
        <v>24</v>
      </c>
    </row>
  </sheetData>
  <autoFilter ref="A1:R26" xr:uid="{00000000-0009-0000-0000-000001000000}"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</autoFilter>
  <mergeCells count="10">
    <mergeCell ref="L1:P1"/>
    <mergeCell ref="F1:F2"/>
    <mergeCell ref="Q1:Q2"/>
    <mergeCell ref="R1:R2"/>
    <mergeCell ref="E1:E2"/>
    <mergeCell ref="D1:D2"/>
    <mergeCell ref="C1:C2"/>
    <mergeCell ref="B1:B2"/>
    <mergeCell ref="A1:A2"/>
    <mergeCell ref="G1:K1"/>
  </mergeCells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8"/>
  <sheetViews>
    <sheetView topLeftCell="I1" workbookViewId="0">
      <selection activeCell="T2" sqref="T2:T5"/>
    </sheetView>
  </sheetViews>
  <sheetFormatPr baseColWidth="10" defaultColWidth="11.42578125" defaultRowHeight="15" x14ac:dyDescent="0.25"/>
  <cols>
    <col min="1" max="1" width="3.7109375" bestFit="1" customWidth="1"/>
    <col min="3" max="3" width="12.85546875" bestFit="1" customWidth="1"/>
    <col min="4" max="4" width="12.85546875" customWidth="1"/>
    <col min="5" max="5" width="22.7109375" bestFit="1" customWidth="1"/>
    <col min="19" max="19" width="18.28515625" customWidth="1"/>
    <col min="20" max="20" width="16.140625" customWidth="1"/>
  </cols>
  <sheetData>
    <row r="1" spans="1:20" ht="15.75" thickBot="1" x14ac:dyDescent="0.3">
      <c r="A1" s="118"/>
      <c r="B1" s="120"/>
      <c r="C1" s="120"/>
      <c r="D1" s="120"/>
      <c r="E1" s="120"/>
      <c r="F1" s="115" t="s">
        <v>23</v>
      </c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7"/>
    </row>
    <row r="2" spans="1:20" x14ac:dyDescent="0.25">
      <c r="A2" s="119"/>
      <c r="B2" s="2" t="s">
        <v>27</v>
      </c>
      <c r="C2" s="10"/>
      <c r="D2" s="10"/>
      <c r="E2" s="10"/>
      <c r="F2" s="1" t="s">
        <v>38</v>
      </c>
      <c r="G2" s="2" t="s">
        <v>40</v>
      </c>
      <c r="H2" s="2" t="s">
        <v>43</v>
      </c>
      <c r="I2" s="2" t="s">
        <v>0</v>
      </c>
      <c r="J2" s="2" t="s">
        <v>1</v>
      </c>
      <c r="K2" s="2" t="s">
        <v>2</v>
      </c>
      <c r="L2" s="2" t="s">
        <v>3</v>
      </c>
      <c r="M2" s="2" t="s">
        <v>45</v>
      </c>
      <c r="N2" s="2" t="s">
        <v>5</v>
      </c>
      <c r="O2" s="2" t="s">
        <v>46</v>
      </c>
      <c r="P2" s="2" t="s">
        <v>6</v>
      </c>
      <c r="Q2" s="2" t="s">
        <v>49</v>
      </c>
      <c r="R2" s="3" t="s">
        <v>10</v>
      </c>
      <c r="S2" s="124" t="s">
        <v>62</v>
      </c>
      <c r="T2" s="112" t="s">
        <v>70</v>
      </c>
    </row>
    <row r="3" spans="1:20" x14ac:dyDescent="0.25">
      <c r="A3" s="119"/>
      <c r="B3" s="2"/>
      <c r="C3" s="2" t="s">
        <v>14</v>
      </c>
      <c r="D3" s="2"/>
      <c r="E3" s="10"/>
      <c r="F3" s="1" t="s">
        <v>15</v>
      </c>
      <c r="G3" s="2" t="s">
        <v>16</v>
      </c>
      <c r="H3" s="2" t="s">
        <v>15</v>
      </c>
      <c r="I3" s="2" t="s">
        <v>17</v>
      </c>
      <c r="J3" s="2" t="s">
        <v>17</v>
      </c>
      <c r="K3" s="2" t="s">
        <v>18</v>
      </c>
      <c r="L3" s="2" t="s">
        <v>17</v>
      </c>
      <c r="M3" s="2" t="s">
        <v>16</v>
      </c>
      <c r="N3" s="2" t="s">
        <v>16</v>
      </c>
      <c r="O3" s="2" t="s">
        <v>16</v>
      </c>
      <c r="P3" s="2" t="s">
        <v>18</v>
      </c>
      <c r="Q3" s="2" t="s">
        <v>16</v>
      </c>
      <c r="R3" s="3" t="s">
        <v>16</v>
      </c>
      <c r="S3" s="125"/>
      <c r="T3" s="113"/>
    </row>
    <row r="4" spans="1:20" x14ac:dyDescent="0.25">
      <c r="A4" s="119"/>
      <c r="B4" s="2"/>
      <c r="C4" s="2"/>
      <c r="D4" s="2" t="s">
        <v>68</v>
      </c>
      <c r="E4" s="10"/>
      <c r="F4" s="1" t="str">
        <f>INDEX('Main sheet'!$D$3:$D$26,MATCH('Distance matrix'!F2,'Main sheet'!$A$3:$A$26,0),1)</f>
        <v>Storage_Y</v>
      </c>
      <c r="G4" s="2" t="str">
        <f>INDEX('Main sheet'!$D$3:$D$26,MATCH('Distance matrix'!G2,'Main sheet'!$A$3:$A$26,0),1)</f>
        <v>B_Y</v>
      </c>
      <c r="H4" s="2" t="str">
        <f>INDEX('Main sheet'!$D$3:$D$26,MATCH('Distance matrix'!H2,'Main sheet'!$A$3:$A$26,0),1)</f>
        <v>Storage_Y</v>
      </c>
      <c r="I4" s="2" t="str">
        <f>INDEX('Main sheet'!$D$3:$D$26,MATCH('Distance matrix'!I2,'Main sheet'!$A$3:$A$26,0),1)</f>
        <v>Production</v>
      </c>
      <c r="J4" s="2" t="str">
        <f>INDEX('Main sheet'!$D$3:$D$26,MATCH('Distance matrix'!J2,'Main sheet'!$A$3:$A$26,0),1)</f>
        <v>Production</v>
      </c>
      <c r="K4" s="2" t="str">
        <f>INDEX('Main sheet'!$D$3:$D$26,MATCH('Distance matrix'!K2,'Main sheet'!$A$3:$A$26,0),1)</f>
        <v>LNG</v>
      </c>
      <c r="L4" s="2" t="str">
        <f>INDEX('Main sheet'!$D$3:$D$26,MATCH('Distance matrix'!L2,'Main sheet'!$A$3:$A$26,0),1)</f>
        <v>Production</v>
      </c>
      <c r="M4" s="2" t="str">
        <f>INDEX('Main sheet'!$D$3:$D$26,MATCH('Distance matrix'!M2,'Main sheet'!$A$3:$A$26,0),1)</f>
        <v>I_Y</v>
      </c>
      <c r="N4" s="2" t="str">
        <f>INDEX('Main sheet'!$D$3:$D$26,MATCH('Distance matrix'!N2,'Main sheet'!$A$3:$A$26,0),1)</f>
        <v>J</v>
      </c>
      <c r="O4" s="2" t="str">
        <f>INDEX('Main sheet'!$D$3:$D$26,MATCH('Distance matrix'!O2,'Main sheet'!$A$3:$A$26,0),1)</f>
        <v>K_Y</v>
      </c>
      <c r="P4" s="2" t="str">
        <f>INDEX('Main sheet'!$D$3:$D$26,MATCH('Distance matrix'!P2,'Main sheet'!$A$3:$A$26,0),1)</f>
        <v>LNG</v>
      </c>
      <c r="Q4" s="2" t="str">
        <f>INDEX('Main sheet'!$D$3:$D$26,MATCH('Distance matrix'!Q2,'Main sheet'!$A$3:$A$26,0),1)</f>
        <v>M_Y</v>
      </c>
      <c r="R4" s="3" t="str">
        <f>INDEX('Main sheet'!$D$3:$D$26,MATCH('Distance matrix'!R2,'Main sheet'!$A$3:$A$26,0),1)</f>
        <v>Q</v>
      </c>
      <c r="S4" s="125"/>
      <c r="T4" s="113"/>
    </row>
    <row r="5" spans="1:20" ht="15.75" thickBot="1" x14ac:dyDescent="0.3">
      <c r="A5" s="119"/>
      <c r="B5" s="9"/>
      <c r="C5" s="2"/>
      <c r="D5" s="2"/>
      <c r="E5" s="2" t="s">
        <v>54</v>
      </c>
      <c r="F5" s="60">
        <f>INDEX('Main sheet'!$Q$3:$Q$26,MATCH('Distance matrix'!F2,'Main sheet'!$A$3:$A$26,0),1)</f>
        <v>4</v>
      </c>
      <c r="G5" s="58">
        <f>INDEX('Main sheet'!$Q$3:$Q$26,MATCH('Distance matrix'!G2,'Main sheet'!$A$3:$A$26,0),1)</f>
        <v>68</v>
      </c>
      <c r="H5" s="58">
        <f>INDEX('Main sheet'!$Q$3:$Q$26,MATCH('Distance matrix'!H2,'Main sheet'!$A$3:$A$26,0),1)</f>
        <v>4</v>
      </c>
      <c r="I5" s="58">
        <f>INDEX('Main sheet'!$Q$3:$Q$26,MATCH('Distance matrix'!I2,'Main sheet'!$A$3:$A$26,0),1)</f>
        <v>4</v>
      </c>
      <c r="J5" s="58">
        <f>INDEX('Main sheet'!$Q$3:$Q$26,MATCH('Distance matrix'!J2,'Main sheet'!$A$3:$A$26,0),1)</f>
        <v>6</v>
      </c>
      <c r="K5" s="58">
        <f>INDEX('Main sheet'!$Q$3:$Q$26,MATCH('Distance matrix'!K2,'Main sheet'!$A$3:$A$26,0),1)</f>
        <v>30</v>
      </c>
      <c r="L5" s="58">
        <f>INDEX('Main sheet'!$Q$3:$Q$26,MATCH('Distance matrix'!L2,'Main sheet'!$A$3:$A$26,0),1)</f>
        <v>20</v>
      </c>
      <c r="M5" s="58">
        <f>INDEX('Main sheet'!$Q$3:$Q$26,MATCH('Distance matrix'!M2,'Main sheet'!$A$3:$A$26,0),1)</f>
        <v>3</v>
      </c>
      <c r="N5" s="58">
        <f>INDEX('Main sheet'!$Q$3:$Q$26,MATCH('Distance matrix'!N2,'Main sheet'!$A$3:$A$26,0),1)</f>
        <v>8</v>
      </c>
      <c r="O5" s="58">
        <f>INDEX('Main sheet'!$Q$3:$Q$26,MATCH('Distance matrix'!O2,'Main sheet'!$A$3:$A$26,0),1)</f>
        <v>60</v>
      </c>
      <c r="P5" s="58">
        <f>INDEX('Main sheet'!$Q$3:$Q$26,MATCH('Distance matrix'!P2,'Main sheet'!$A$3:$A$26,0),1)</f>
        <v>30</v>
      </c>
      <c r="Q5" s="58">
        <f>INDEX('Main sheet'!$Q$3:$Q$26,MATCH('Distance matrix'!Q2,'Main sheet'!$A$3:$A$26,0),1)</f>
        <v>80</v>
      </c>
      <c r="R5" s="61">
        <f>INDEX('Main sheet'!$Q$3:$Q$26,MATCH('Distance matrix'!R2,'Main sheet'!$A$3:$A$26,0),1)</f>
        <v>20</v>
      </c>
      <c r="S5" s="126"/>
      <c r="T5" s="114"/>
    </row>
    <row r="6" spans="1:20" x14ac:dyDescent="0.25">
      <c r="A6" s="121" t="s">
        <v>24</v>
      </c>
      <c r="B6" s="52" t="s">
        <v>39</v>
      </c>
      <c r="C6" s="11" t="s">
        <v>15</v>
      </c>
      <c r="D6" s="11" t="str">
        <f>INDEX('Main sheet'!$D$3:$D$26,MATCH('Distance matrix'!B6,'Main sheet'!$A$3:$A$26,0),1)</f>
        <v>Storage_X</v>
      </c>
      <c r="E6" s="57">
        <f>INDEX('Main sheet'!$Q$3:$Q$26,MATCH('Distance matrix'!B6,'Main sheet'!$A$3:$A$26,0),1)</f>
        <v>1</v>
      </c>
      <c r="F6" s="8" t="s">
        <v>60</v>
      </c>
      <c r="G6" s="11">
        <v>20.462185144412171</v>
      </c>
      <c r="H6" s="11" t="s">
        <v>60</v>
      </c>
      <c r="I6" s="11">
        <v>13.186912597118443</v>
      </c>
      <c r="J6" s="11">
        <v>18.847349951546676</v>
      </c>
      <c r="K6" s="11">
        <v>27.462185144412171</v>
      </c>
      <c r="L6" s="11">
        <v>7.0710678118654755</v>
      </c>
      <c r="M6" s="11">
        <v>22.462185144412171</v>
      </c>
      <c r="N6" s="11">
        <v>12.549823185463149</v>
      </c>
      <c r="O6" s="11">
        <v>10</v>
      </c>
      <c r="P6" s="11">
        <v>15.60555127546399</v>
      </c>
      <c r="Q6" s="11">
        <v>8.9907160825984924</v>
      </c>
      <c r="R6" s="7" t="s">
        <v>60</v>
      </c>
      <c r="S6" s="53">
        <f>SUMPRODUCT($F$5:$R$5,F6:R6)/SUMIF(F6:R6,"&lt;&gt;x",$F$5:$R$5)</f>
        <v>14.491120441023291</v>
      </c>
      <c r="T6" s="54">
        <f>S6*E6/SUMPRODUCT($S$6:$S$16,$E$6:$E$16)</f>
        <v>1.7127255774034924E-3</v>
      </c>
    </row>
    <row r="7" spans="1:20" x14ac:dyDescent="0.25">
      <c r="A7" s="122"/>
      <c r="B7" s="45" t="s">
        <v>41</v>
      </c>
      <c r="C7" s="2" t="s">
        <v>16</v>
      </c>
      <c r="D7" s="2" t="str">
        <f>INDEX('Main sheet'!$D$3:$D$26,MATCH('Distance matrix'!B7,'Main sheet'!$A$3:$A$26,0),1)</f>
        <v>B_X</v>
      </c>
      <c r="E7" s="58">
        <f>INDEX('Main sheet'!$Q$3:$Q$26,MATCH('Distance matrix'!B7,'Main sheet'!$A$3:$A$26,0),1)</f>
        <v>90</v>
      </c>
      <c r="F7" s="1">
        <v>20.462185144412171</v>
      </c>
      <c r="G7" s="2" t="s">
        <v>60</v>
      </c>
      <c r="H7" s="2" t="s">
        <v>60</v>
      </c>
      <c r="I7" s="2">
        <v>3.1622776601683795</v>
      </c>
      <c r="J7" s="2">
        <v>12.385164807134505</v>
      </c>
      <c r="K7" s="2">
        <v>17</v>
      </c>
      <c r="L7" s="2">
        <v>21.876398706785267</v>
      </c>
      <c r="M7" s="2">
        <v>12</v>
      </c>
      <c r="N7" s="2">
        <v>30.163816367292046</v>
      </c>
      <c r="O7" s="2">
        <v>30.462185144412171</v>
      </c>
      <c r="P7" s="2">
        <v>33.219544457292884</v>
      </c>
      <c r="Q7" s="2">
        <v>26.604709264427392</v>
      </c>
      <c r="R7" s="3" t="s">
        <v>60</v>
      </c>
      <c r="S7" s="55">
        <f t="shared" ref="S7:S16" si="0">SUMPRODUCT($F$5:$R$5,F7:R7)/SUMIF(F7:R7,"&lt;&gt;x",$F$5:$R$5)</f>
        <v>25.903434810909708</v>
      </c>
      <c r="T7" s="56">
        <f t="shared" ref="T7:T16" si="1">S7*E7/SUMPRODUCT($S$6:$S$16,$E$6:$E$16)</f>
        <v>0.27554065243905024</v>
      </c>
    </row>
    <row r="8" spans="1:20" x14ac:dyDescent="0.25">
      <c r="A8" s="122"/>
      <c r="B8" s="45" t="s">
        <v>42</v>
      </c>
      <c r="C8" s="2" t="s">
        <v>15</v>
      </c>
      <c r="D8" s="2" t="str">
        <f>INDEX('Main sheet'!$D$3:$D$26,MATCH('Distance matrix'!B8,'Main sheet'!$A$3:$A$26,0),1)</f>
        <v>Storage_X</v>
      </c>
      <c r="E8" s="58">
        <f>INDEX('Main sheet'!$Q$3:$Q$26,MATCH('Distance matrix'!B8,'Main sheet'!$A$3:$A$26,0),1)</f>
        <v>2</v>
      </c>
      <c r="F8" s="1" t="s">
        <v>60</v>
      </c>
      <c r="G8" s="2" t="s">
        <v>60</v>
      </c>
      <c r="H8" s="2" t="s">
        <v>60</v>
      </c>
      <c r="I8" s="2" t="s">
        <v>60</v>
      </c>
      <c r="J8" s="2">
        <v>4.1231056256176606</v>
      </c>
      <c r="K8" s="2" t="s">
        <v>60</v>
      </c>
      <c r="L8" s="2" t="s">
        <v>60</v>
      </c>
      <c r="M8" s="2" t="s">
        <v>60</v>
      </c>
      <c r="N8" s="2" t="s">
        <v>60</v>
      </c>
      <c r="O8" s="2" t="s">
        <v>60</v>
      </c>
      <c r="P8" s="2" t="s">
        <v>60</v>
      </c>
      <c r="Q8" s="2" t="s">
        <v>60</v>
      </c>
      <c r="R8" s="3" t="s">
        <v>60</v>
      </c>
      <c r="S8" s="55">
        <f t="shared" si="0"/>
        <v>4.1231056256176606</v>
      </c>
      <c r="T8" s="56">
        <f t="shared" si="1"/>
        <v>9.7463111870084353E-4</v>
      </c>
    </row>
    <row r="9" spans="1:20" x14ac:dyDescent="0.25">
      <c r="A9" s="122"/>
      <c r="B9" s="45" t="s">
        <v>4</v>
      </c>
      <c r="C9" s="2" t="s">
        <v>19</v>
      </c>
      <c r="D9" s="2" t="str">
        <f>INDEX('Main sheet'!$D$3:$D$26,MATCH('Distance matrix'!B9,'Main sheet'!$A$3:$A$26,0),1)</f>
        <v>Cons_West</v>
      </c>
      <c r="E9" s="58">
        <f>INDEX('Main sheet'!$Q$3:$Q$26,MATCH('Distance matrix'!B9,'Main sheet'!$A$3:$A$26,0),1)</f>
        <v>60</v>
      </c>
      <c r="F9" s="1">
        <v>13.462185144412171</v>
      </c>
      <c r="G9" s="2">
        <v>7</v>
      </c>
      <c r="H9" s="2" t="s">
        <v>60</v>
      </c>
      <c r="I9" s="2">
        <v>5</v>
      </c>
      <c r="J9" s="2">
        <v>5.3851648071345037</v>
      </c>
      <c r="K9" s="2">
        <v>14</v>
      </c>
      <c r="L9" s="2">
        <v>14.876398706785267</v>
      </c>
      <c r="M9" s="2">
        <v>9</v>
      </c>
      <c r="N9" s="2">
        <v>23.163816367292046</v>
      </c>
      <c r="O9" s="2">
        <v>23.462185144412171</v>
      </c>
      <c r="P9" s="2">
        <v>26.219544457292887</v>
      </c>
      <c r="Q9" s="2">
        <v>19.604709264427392</v>
      </c>
      <c r="R9" s="3" t="s">
        <v>60</v>
      </c>
      <c r="S9" s="55">
        <f t="shared" si="0"/>
        <v>16.852052453777016</v>
      </c>
      <c r="T9" s="56">
        <f t="shared" si="1"/>
        <v>0.11950604393965422</v>
      </c>
    </row>
    <row r="10" spans="1:20" x14ac:dyDescent="0.25">
      <c r="A10" s="122"/>
      <c r="B10" s="45" t="s">
        <v>44</v>
      </c>
      <c r="C10" s="2" t="s">
        <v>16</v>
      </c>
      <c r="D10" s="2" t="str">
        <f>INDEX('Main sheet'!$D$3:$D$26,MATCH('Distance matrix'!B10,'Main sheet'!$A$3:$A$26,0),1)</f>
        <v>I_X</v>
      </c>
      <c r="E10" s="58">
        <f>INDEX('Main sheet'!$Q$3:$Q$26,MATCH('Distance matrix'!B10,'Main sheet'!$A$3:$A$26,0),1)</f>
        <v>50</v>
      </c>
      <c r="F10" s="1">
        <v>22.462185144412171</v>
      </c>
      <c r="G10" s="2">
        <v>12</v>
      </c>
      <c r="H10" s="2" t="s">
        <v>60</v>
      </c>
      <c r="I10" s="2">
        <v>10</v>
      </c>
      <c r="J10" s="2">
        <v>14.385164807134505</v>
      </c>
      <c r="K10" s="2">
        <v>5</v>
      </c>
      <c r="L10" s="2">
        <v>23.876398706785267</v>
      </c>
      <c r="M10" s="2" t="s">
        <v>60</v>
      </c>
      <c r="N10" s="2">
        <v>32.163816367292043</v>
      </c>
      <c r="O10" s="2">
        <v>32.462185144412175</v>
      </c>
      <c r="P10" s="2">
        <v>35.219544457292884</v>
      </c>
      <c r="Q10" s="2">
        <v>28.604709264427392</v>
      </c>
      <c r="R10" s="3" t="s">
        <v>60</v>
      </c>
      <c r="S10" s="55">
        <f t="shared" si="0"/>
        <v>23.257072316232922</v>
      </c>
      <c r="T10" s="56">
        <f t="shared" si="1"/>
        <v>0.13743927798284866</v>
      </c>
    </row>
    <row r="11" spans="1:20" x14ac:dyDescent="0.25">
      <c r="A11" s="122"/>
      <c r="B11" s="45" t="s">
        <v>47</v>
      </c>
      <c r="C11" s="2" t="s">
        <v>16</v>
      </c>
      <c r="D11" s="2" t="str">
        <f>INDEX('Main sheet'!$D$3:$D$26,MATCH('Distance matrix'!B11,'Main sheet'!$A$3:$A$26,0),1)</f>
        <v>K_X</v>
      </c>
      <c r="E11" s="58">
        <f>INDEX('Main sheet'!$Q$3:$Q$26,MATCH('Distance matrix'!B11,'Main sheet'!$A$3:$A$26,0),1)</f>
        <v>40</v>
      </c>
      <c r="F11" s="1">
        <v>10</v>
      </c>
      <c r="G11" s="2">
        <v>30.462185144412171</v>
      </c>
      <c r="H11" s="2" t="s">
        <v>60</v>
      </c>
      <c r="I11" s="2">
        <v>23.186912597118443</v>
      </c>
      <c r="J11" s="2">
        <v>28.847349951546676</v>
      </c>
      <c r="K11" s="2">
        <v>37.462185144412167</v>
      </c>
      <c r="L11" s="2">
        <v>15.827805536337287</v>
      </c>
      <c r="M11" s="2">
        <v>32.462185144412167</v>
      </c>
      <c r="N11" s="2">
        <v>20.648971820718785</v>
      </c>
      <c r="O11" s="2" t="s">
        <v>60</v>
      </c>
      <c r="P11" s="2">
        <v>23.704699910719626</v>
      </c>
      <c r="Q11" s="2">
        <v>17.08986471785413</v>
      </c>
      <c r="R11" s="3" t="s">
        <v>60</v>
      </c>
      <c r="S11" s="55">
        <f t="shared" si="0"/>
        <v>24.342254979153353</v>
      </c>
      <c r="T11" s="56">
        <f t="shared" si="1"/>
        <v>0.11508179200953329</v>
      </c>
    </row>
    <row r="12" spans="1:20" x14ac:dyDescent="0.25">
      <c r="A12" s="122"/>
      <c r="B12" s="45" t="s">
        <v>48</v>
      </c>
      <c r="C12" s="2" t="s">
        <v>16</v>
      </c>
      <c r="D12" s="2" t="str">
        <f>INDEX('Main sheet'!$D$3:$D$26,MATCH('Distance matrix'!B12,'Main sheet'!$A$3:$A$26,0),1)</f>
        <v>M_X</v>
      </c>
      <c r="E12" s="58">
        <f>INDEX('Main sheet'!$Q$3:$Q$26,MATCH('Distance matrix'!B12,'Main sheet'!$A$3:$A$26,0),1)</f>
        <v>90</v>
      </c>
      <c r="F12" s="1">
        <v>8.9907160825984924</v>
      </c>
      <c r="G12" s="2">
        <v>26.604709264427392</v>
      </c>
      <c r="H12" s="2" t="s">
        <v>60</v>
      </c>
      <c r="I12" s="2">
        <v>19.329436717133664</v>
      </c>
      <c r="J12" s="2">
        <v>24.989874071561893</v>
      </c>
      <c r="K12" s="2">
        <v>33.604709264427392</v>
      </c>
      <c r="L12" s="2">
        <v>3.1622776601683795</v>
      </c>
      <c r="M12" s="2">
        <v>28.604709264427392</v>
      </c>
      <c r="N12" s="2">
        <v>14.329436717133664</v>
      </c>
      <c r="O12" s="2">
        <v>17.08986471785413</v>
      </c>
      <c r="P12" s="2">
        <v>9.7748517734455866</v>
      </c>
      <c r="Q12" s="2" t="s">
        <v>60</v>
      </c>
      <c r="R12" s="3" t="s">
        <v>60</v>
      </c>
      <c r="S12" s="55">
        <f t="shared" si="0"/>
        <v>20.012077143993643</v>
      </c>
      <c r="T12" s="56">
        <f t="shared" si="1"/>
        <v>0.21287295809103401</v>
      </c>
    </row>
    <row r="13" spans="1:20" x14ac:dyDescent="0.25">
      <c r="A13" s="122"/>
      <c r="B13" s="45" t="s">
        <v>7</v>
      </c>
      <c r="C13" s="2" t="s">
        <v>19</v>
      </c>
      <c r="D13" s="2" t="str">
        <f>INDEX('Main sheet'!$D$3:$D$26,MATCH('Distance matrix'!B13,'Main sheet'!$A$3:$A$26,0),1)</f>
        <v>Cons_East</v>
      </c>
      <c r="E13" s="58">
        <f>INDEX('Main sheet'!$Q$3:$Q$26,MATCH('Distance matrix'!B13,'Main sheet'!$A$3:$A$26,0),1)</f>
        <v>10</v>
      </c>
      <c r="F13" s="1">
        <v>4.2426406871192848</v>
      </c>
      <c r="G13" s="2">
        <v>16.219544457292887</v>
      </c>
      <c r="H13" s="2" t="s">
        <v>60</v>
      </c>
      <c r="I13" s="2">
        <v>8.9442719099991592</v>
      </c>
      <c r="J13" s="2">
        <v>14.604709264427392</v>
      </c>
      <c r="K13" s="2">
        <v>23.219544457292887</v>
      </c>
      <c r="L13" s="2">
        <v>5.6568542494923806</v>
      </c>
      <c r="M13" s="2">
        <v>18.219544457292887</v>
      </c>
      <c r="N13" s="2">
        <v>13.944271909999159</v>
      </c>
      <c r="O13" s="2">
        <v>14.242640687119284</v>
      </c>
      <c r="P13" s="2">
        <v>17</v>
      </c>
      <c r="Q13" s="2">
        <v>10.385164807134505</v>
      </c>
      <c r="R13" s="3" t="s">
        <v>60</v>
      </c>
      <c r="S13" s="55">
        <f t="shared" si="0"/>
        <v>14.104194192426126</v>
      </c>
      <c r="T13" s="56">
        <f t="shared" si="1"/>
        <v>1.666994228662156E-2</v>
      </c>
    </row>
    <row r="14" spans="1:20" x14ac:dyDescent="0.25">
      <c r="A14" s="122"/>
      <c r="B14" s="45" t="s">
        <v>8</v>
      </c>
      <c r="C14" s="2" t="s">
        <v>19</v>
      </c>
      <c r="D14" s="2" t="str">
        <f>INDEX('Main sheet'!$D$3:$D$26,MATCH('Distance matrix'!B14,'Main sheet'!$A$3:$A$26,0),1)</f>
        <v>Cons_East</v>
      </c>
      <c r="E14" s="58">
        <f>INDEX('Main sheet'!$Q$3:$Q$26,MATCH('Distance matrix'!B14,'Main sheet'!$A$3:$A$26,0),1)</f>
        <v>50</v>
      </c>
      <c r="F14" s="1">
        <v>3.6055512754639891</v>
      </c>
      <c r="G14" s="2">
        <v>21.219544457292887</v>
      </c>
      <c r="H14" s="2" t="s">
        <v>60</v>
      </c>
      <c r="I14" s="2">
        <v>13.944271909999159</v>
      </c>
      <c r="J14" s="2">
        <v>19.604709264427392</v>
      </c>
      <c r="K14" s="2">
        <v>28.219544457292887</v>
      </c>
      <c r="L14" s="2">
        <v>4.1231056256176606</v>
      </c>
      <c r="M14" s="2">
        <v>23.219544457292887</v>
      </c>
      <c r="N14" s="2">
        <v>8.9442719099991592</v>
      </c>
      <c r="O14" s="2">
        <v>11.704699910719626</v>
      </c>
      <c r="P14" s="2">
        <v>12</v>
      </c>
      <c r="Q14" s="2">
        <v>5.3851648071345037</v>
      </c>
      <c r="R14" s="3" t="s">
        <v>60</v>
      </c>
      <c r="S14" s="55">
        <f t="shared" si="0"/>
        <v>13.399722062368316</v>
      </c>
      <c r="T14" s="56">
        <f t="shared" si="1"/>
        <v>7.9186584638915175E-2</v>
      </c>
    </row>
    <row r="15" spans="1:20" x14ac:dyDescent="0.25">
      <c r="A15" s="122"/>
      <c r="B15" s="45" t="s">
        <v>9</v>
      </c>
      <c r="C15" s="2" t="s">
        <v>19</v>
      </c>
      <c r="D15" s="2" t="str">
        <f>INDEX('Main sheet'!$D$3:$D$26,MATCH('Distance matrix'!B15,'Main sheet'!$A$3:$A$26,0),1)</f>
        <v>Cons_West</v>
      </c>
      <c r="E15" s="58">
        <f>INDEX('Main sheet'!$Q$3:$Q$26,MATCH('Distance matrix'!B15,'Main sheet'!$A$3:$A$26,0),1)</f>
        <v>10</v>
      </c>
      <c r="F15" s="1">
        <v>15.462185144412171</v>
      </c>
      <c r="G15" s="2">
        <v>5</v>
      </c>
      <c r="H15" s="2" t="s">
        <v>60</v>
      </c>
      <c r="I15" s="2">
        <v>3</v>
      </c>
      <c r="J15" s="2">
        <v>7.3851648071345037</v>
      </c>
      <c r="K15" s="2">
        <v>12</v>
      </c>
      <c r="L15" s="2">
        <v>16.876398706785267</v>
      </c>
      <c r="M15" s="2">
        <v>7</v>
      </c>
      <c r="N15" s="2">
        <v>25.163816367292043</v>
      </c>
      <c r="O15" s="2">
        <v>25.462185144412175</v>
      </c>
      <c r="P15" s="2">
        <v>28.219544457292887</v>
      </c>
      <c r="Q15" s="2">
        <v>21.604709264427392</v>
      </c>
      <c r="R15" s="3" t="s">
        <v>60</v>
      </c>
      <c r="S15" s="55">
        <f t="shared" si="0"/>
        <v>17.510199418633245</v>
      </c>
      <c r="T15" s="56">
        <f t="shared" si="1"/>
        <v>2.0695546994992174E-2</v>
      </c>
    </row>
    <row r="16" spans="1:20" ht="15.75" thickBot="1" x14ac:dyDescent="0.3">
      <c r="A16" s="123"/>
      <c r="B16" s="46" t="s">
        <v>11</v>
      </c>
      <c r="C16" s="5" t="s">
        <v>16</v>
      </c>
      <c r="D16" s="5" t="str">
        <f>INDEX('Main sheet'!$D$3:$D$26,MATCH('Distance matrix'!B16,'Main sheet'!$A$3:$A$26,0),1)</f>
        <v>R</v>
      </c>
      <c r="E16" s="59">
        <f>INDEX('Main sheet'!$Q$3:$Q$26,MATCH('Distance matrix'!B16,'Main sheet'!$A$3:$A$26,0),1)</f>
        <v>24</v>
      </c>
      <c r="F16" s="4" t="s">
        <v>60</v>
      </c>
      <c r="G16" s="5" t="s">
        <v>60</v>
      </c>
      <c r="H16" s="5">
        <v>8.2462112512353212</v>
      </c>
      <c r="I16" s="5" t="s">
        <v>60</v>
      </c>
      <c r="J16" s="5">
        <v>12.369316876852981</v>
      </c>
      <c r="K16" s="5" t="s">
        <v>60</v>
      </c>
      <c r="L16" s="5" t="s">
        <v>60</v>
      </c>
      <c r="M16" s="5" t="s">
        <v>60</v>
      </c>
      <c r="N16" s="5" t="s">
        <v>60</v>
      </c>
      <c r="O16" s="5" t="s">
        <v>60</v>
      </c>
      <c r="P16" s="5" t="s">
        <v>60</v>
      </c>
      <c r="Q16" s="5" t="s">
        <v>60</v>
      </c>
      <c r="R16" s="6">
        <v>5.3851648071345037</v>
      </c>
      <c r="S16" s="49">
        <f t="shared" si="0"/>
        <v>7.1634680802916417</v>
      </c>
      <c r="T16" s="51">
        <f t="shared" si="1"/>
        <v>2.0319844921246312E-2</v>
      </c>
    </row>
    <row r="17" spans="2:18" x14ac:dyDescent="0.25">
      <c r="B17" s="106" t="s">
        <v>61</v>
      </c>
      <c r="C17" s="107"/>
      <c r="D17" s="107"/>
      <c r="E17" s="108"/>
      <c r="F17" s="47">
        <f>SUMPRODUCT($E$6:$E$16,F6:F16)/SUMIF(F6:F16,"&lt;&gt;x",$E$6:$E$16)</f>
        <v>13.397318246012031</v>
      </c>
      <c r="G17" s="44">
        <f t="shared" ref="G17:R17" si="2">SUMPRODUCT($E$6:$E$16,G6:G16)/SUMIF(G6:G16,"&lt;&gt;x",$E$6:$E$16)</f>
        <v>19.056418302755425</v>
      </c>
      <c r="H17" s="44">
        <f t="shared" si="2"/>
        <v>8.2462112512353212</v>
      </c>
      <c r="I17" s="44">
        <f t="shared" si="2"/>
        <v>11.425371633513691</v>
      </c>
      <c r="J17" s="44">
        <f t="shared" si="2"/>
        <v>16.590414510804642</v>
      </c>
      <c r="K17" s="44">
        <f t="shared" si="2"/>
        <v>22.278169805877649</v>
      </c>
      <c r="L17" s="44">
        <f t="shared" si="2"/>
        <v>13.495151697958162</v>
      </c>
      <c r="M17" s="44">
        <f t="shared" si="2"/>
        <v>19.73944755600267</v>
      </c>
      <c r="N17" s="44">
        <f t="shared" si="2"/>
        <v>21.643929556826745</v>
      </c>
      <c r="O17" s="44">
        <f t="shared" si="2"/>
        <v>22.999468441386711</v>
      </c>
      <c r="P17" s="44">
        <f t="shared" si="2"/>
        <v>22.991607340014603</v>
      </c>
      <c r="Q17" s="44">
        <f t="shared" si="2"/>
        <v>20.201556716252689</v>
      </c>
      <c r="R17" s="48">
        <f t="shared" si="2"/>
        <v>5.3851648071345037</v>
      </c>
    </row>
    <row r="18" spans="2:18" ht="15.75" thickBot="1" x14ac:dyDescent="0.3">
      <c r="B18" s="109" t="s">
        <v>69</v>
      </c>
      <c r="C18" s="110"/>
      <c r="D18" s="110"/>
      <c r="E18" s="111"/>
      <c r="F18" s="49">
        <f>F17*F5/SUMPRODUCT($F$17:$R$17,'Distance matrix'!$F$5:$R$5)</f>
        <v>8.2548963189535418E-3</v>
      </c>
      <c r="G18" s="50">
        <f>G17*G5/SUMPRODUCT($F$17:$R$17,'Distance matrix'!$F$5:$R$5)</f>
        <v>0.19961075977974704</v>
      </c>
      <c r="H18" s="50">
        <f>H17*H5/SUMPRODUCT($F$17:$R$17,'Distance matrix'!$F$5:$R$5)</f>
        <v>5.080988422694113E-3</v>
      </c>
      <c r="I18" s="50">
        <f>I17*I5/SUMPRODUCT($F$17:$R$17,'Distance matrix'!$F$5:$R$5)</f>
        <v>7.039861001155447E-3</v>
      </c>
      <c r="J18" s="50">
        <f>J17*J5/SUMPRODUCT($F$17:$R$17,'Distance matrix'!$F$5:$R$5)</f>
        <v>1.5333533453523928E-2</v>
      </c>
      <c r="K18" s="50">
        <f>K17*K5/SUMPRODUCT($F$17:$R$17,'Distance matrix'!$F$5:$R$5)</f>
        <v>0.10295193702943342</v>
      </c>
      <c r="L18" s="50">
        <f>L17*L5/SUMPRODUCT($F$17:$R$17,'Distance matrix'!$F$5:$R$5)</f>
        <v>4.1575887065441304E-2</v>
      </c>
      <c r="M18" s="50">
        <f>M17*M5/SUMPRODUCT($F$17:$R$17,'Distance matrix'!$F$5:$R$5)</f>
        <v>9.121998707655201E-3</v>
      </c>
      <c r="N18" s="50">
        <f>N17*N5/SUMPRODUCT($F$17:$R$17,'Distance matrix'!$F$5:$R$5)</f>
        <v>2.6672262484997388E-2</v>
      </c>
      <c r="O18" s="50">
        <f>O17*O5/SUMPRODUCT($F$17:$R$17,'Distance matrix'!$F$5:$R$5)</f>
        <v>0.21257040837020452</v>
      </c>
      <c r="P18" s="50">
        <f>P17*P5/SUMPRODUCT($F$17:$R$17,'Distance matrix'!$F$5:$R$5)</f>
        <v>0.10624887644272059</v>
      </c>
      <c r="Q18" s="50">
        <f>Q17*Q5/SUMPRODUCT($F$17:$R$17,'Distance matrix'!$F$5:$R$5)</f>
        <v>0.24894796572256597</v>
      </c>
      <c r="R18" s="51">
        <f>R17*R5/SUMPRODUCT($F$17:$R$17,'Distance matrix'!$F$5:$R$5)</f>
        <v>1.6590625200907413E-2</v>
      </c>
    </row>
  </sheetData>
  <mergeCells count="8">
    <mergeCell ref="B17:E17"/>
    <mergeCell ref="B18:E18"/>
    <mergeCell ref="T2:T5"/>
    <mergeCell ref="F1:R1"/>
    <mergeCell ref="A1:A5"/>
    <mergeCell ref="B1:E1"/>
    <mergeCell ref="A6:A16"/>
    <mergeCell ref="S2:S5"/>
  </mergeCells>
  <pageMargins left="0.7" right="0.7" top="0.78740157499999996" bottom="0.78740157499999996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5"/>
  <sheetViews>
    <sheetView workbookViewId="0">
      <selection activeCell="F16" sqref="F16"/>
    </sheetView>
  </sheetViews>
  <sheetFormatPr baseColWidth="10" defaultColWidth="11.42578125" defaultRowHeight="15" x14ac:dyDescent="0.25"/>
  <cols>
    <col min="1" max="1" width="12" bestFit="1" customWidth="1"/>
    <col min="2" max="2" width="22" bestFit="1" customWidth="1"/>
    <col min="3" max="3" width="34.140625" bestFit="1" customWidth="1"/>
    <col min="4" max="4" width="23.42578125" bestFit="1" customWidth="1"/>
    <col min="6" max="6" width="20.140625" bestFit="1" customWidth="1"/>
    <col min="7" max="7" width="13.85546875" bestFit="1" customWidth="1"/>
    <col min="8" max="8" width="13.7109375" bestFit="1" customWidth="1"/>
  </cols>
  <sheetData>
    <row r="1" spans="1:8" ht="15.75" thickBot="1" x14ac:dyDescent="0.3">
      <c r="A1" s="75" t="s">
        <v>71</v>
      </c>
      <c r="B1" s="76" t="s">
        <v>72</v>
      </c>
      <c r="C1" s="76" t="s">
        <v>73</v>
      </c>
      <c r="D1" s="76" t="s">
        <v>76</v>
      </c>
      <c r="E1" s="76" t="s">
        <v>77</v>
      </c>
      <c r="F1" s="76" t="s">
        <v>79</v>
      </c>
      <c r="G1" s="81" t="s">
        <v>78</v>
      </c>
      <c r="H1" s="77" t="s">
        <v>81</v>
      </c>
    </row>
    <row r="2" spans="1:8" x14ac:dyDescent="0.25">
      <c r="A2" s="70" t="s">
        <v>64</v>
      </c>
      <c r="B2" s="72">
        <f>SUMIF('Distance matrix'!$F$4:$R$4,'Tariff calculation'!A2,'Distance matrix'!$F$18:$R$18)</f>
        <v>1.3335884741647656E-2</v>
      </c>
      <c r="C2" s="73">
        <f>SUMIF('Main sheet'!$D$3:$D$26,'Tariff calculation'!A2,'Main sheet'!$R$3:$R$26)</f>
        <v>8</v>
      </c>
      <c r="D2" s="44">
        <f>B2*Parameters!$B$6</f>
        <v>6.6679423708238277</v>
      </c>
      <c r="E2" s="44">
        <f>D2/C2</f>
        <v>0.83349279635297846</v>
      </c>
      <c r="F2" s="78">
        <f>IF(LEFT(A2,7)="Storage",Parameters!$B$9,IF(LEFT(A2,7)="LNG",Parameters!$B$10,"no"))</f>
        <v>0.5</v>
      </c>
      <c r="G2" s="47">
        <f>IFERROR(E2*(1-F2),E2)</f>
        <v>0.41674639817648923</v>
      </c>
      <c r="H2" s="74">
        <f>G2*$G$12</f>
        <v>0.41954389267487641</v>
      </c>
    </row>
    <row r="3" spans="1:8" x14ac:dyDescent="0.25">
      <c r="A3" s="70" t="s">
        <v>40</v>
      </c>
      <c r="B3" s="67">
        <f>SUMIF('Distance matrix'!$F$4:$R$4,'Tariff calculation'!A3,'Distance matrix'!$F$18:$R$18)</f>
        <v>0.19961075977974704</v>
      </c>
      <c r="C3" s="62">
        <f>SUMIF('Main sheet'!$D$3:$D$26,'Tariff calculation'!A3,'Main sheet'!$R$3:$R$26)</f>
        <v>68</v>
      </c>
      <c r="D3" s="63">
        <f>B3*Parameters!$B$6</f>
        <v>99.805379889873521</v>
      </c>
      <c r="E3" s="63">
        <f t="shared" ref="E3:E10" si="0">D3/C3</f>
        <v>1.4677261748510813</v>
      </c>
      <c r="F3" s="79" t="str">
        <f>IF(LEFT(A3,7)="Storage",Parameters!$B$9,IF(LEFT(A3,7)="LNG",Parameters!$B$10,"no"))</f>
        <v>no</v>
      </c>
      <c r="G3" s="55">
        <f t="shared" ref="G3:G10" si="1">IFERROR(E3*(1-F3),E3)</f>
        <v>1.4677261748510813</v>
      </c>
      <c r="H3" s="64">
        <f t="shared" ref="H3:H10" si="2">G3*$G$12</f>
        <v>1.4775785836955264</v>
      </c>
    </row>
    <row r="4" spans="1:8" x14ac:dyDescent="0.25">
      <c r="A4" s="70" t="s">
        <v>17</v>
      </c>
      <c r="B4" s="67">
        <f>SUMIF('Distance matrix'!$F$4:$R$4,'Tariff calculation'!A4,'Distance matrix'!$F$18:$R$18)</f>
        <v>6.3949281520120679E-2</v>
      </c>
      <c r="C4" s="62">
        <f>SUMIF('Main sheet'!$D$3:$D$26,'Tariff calculation'!A4,'Main sheet'!$R$3:$R$26)</f>
        <v>30</v>
      </c>
      <c r="D4" s="63">
        <f>B4*Parameters!$B$6</f>
        <v>31.974640760060339</v>
      </c>
      <c r="E4" s="63">
        <f t="shared" si="0"/>
        <v>1.065821358668678</v>
      </c>
      <c r="F4" s="79" t="str">
        <f>IF(LEFT(A4,7)="Storage",Parameters!$B$9,IF(LEFT(A4,7)="LNG",Parameters!$B$10,"no"))</f>
        <v>no</v>
      </c>
      <c r="G4" s="55">
        <f t="shared" si="1"/>
        <v>1.065821358668678</v>
      </c>
      <c r="H4" s="64">
        <f t="shared" si="2"/>
        <v>1.0729759001360681</v>
      </c>
    </row>
    <row r="5" spans="1:8" x14ac:dyDescent="0.25">
      <c r="A5" s="70" t="s">
        <v>18</v>
      </c>
      <c r="B5" s="67">
        <f>SUMIF('Distance matrix'!$F$4:$R$4,'Tariff calculation'!A5,'Distance matrix'!$F$18:$R$18)</f>
        <v>0.20920081347215402</v>
      </c>
      <c r="C5" s="62">
        <f>SUMIF('Main sheet'!$D$3:$D$26,'Tariff calculation'!A5,'Main sheet'!$R$3:$R$26)</f>
        <v>60</v>
      </c>
      <c r="D5" s="63">
        <f>B5*Parameters!$B$6</f>
        <v>104.60040673607701</v>
      </c>
      <c r="E5" s="63">
        <f t="shared" si="0"/>
        <v>1.7433401122679502</v>
      </c>
      <c r="F5" s="78" t="str">
        <f>IF(LEFT(A5,7)="Storage",Parameters!$B$9,IF(LEFT(A5,7)="LNG",Parameters!$B$10,"no"))</f>
        <v>no</v>
      </c>
      <c r="G5" s="55">
        <f t="shared" si="1"/>
        <v>1.7433401122679502</v>
      </c>
      <c r="H5" s="64">
        <f t="shared" si="2"/>
        <v>1.7550426354192645</v>
      </c>
    </row>
    <row r="6" spans="1:8" x14ac:dyDescent="0.25">
      <c r="A6" s="70" t="s">
        <v>45</v>
      </c>
      <c r="B6" s="67">
        <f>SUMIF('Distance matrix'!$F$4:$R$4,'Tariff calculation'!A6,'Distance matrix'!$F$18:$R$18)</f>
        <v>9.121998707655201E-3</v>
      </c>
      <c r="C6" s="62">
        <f>SUMIF('Main sheet'!$D$3:$D$26,'Tariff calculation'!A6,'Main sheet'!$R$3:$R$26)</f>
        <v>3</v>
      </c>
      <c r="D6" s="63">
        <f>B6*Parameters!$B$6</f>
        <v>4.5609993538276008</v>
      </c>
      <c r="E6" s="63">
        <f t="shared" si="0"/>
        <v>1.5203331179425337</v>
      </c>
      <c r="F6" s="79" t="str">
        <f>IF(LEFT(A6,7)="Storage",Parameters!$B$9,IF(LEFT(A6,7)="LNG",Parameters!$B$10,"no"))</f>
        <v>no</v>
      </c>
      <c r="G6" s="55">
        <f t="shared" si="1"/>
        <v>1.5203331179425337</v>
      </c>
      <c r="H6" s="64">
        <f t="shared" si="2"/>
        <v>1.5305386615339598</v>
      </c>
    </row>
    <row r="7" spans="1:8" x14ac:dyDescent="0.25">
      <c r="A7" s="70" t="s">
        <v>5</v>
      </c>
      <c r="B7" s="67">
        <f>SUMIF('Distance matrix'!$F$4:$R$4,'Tariff calculation'!A7,'Distance matrix'!$F$18:$R$18)</f>
        <v>2.6672262484997388E-2</v>
      </c>
      <c r="C7" s="62">
        <f>SUMIF('Main sheet'!$D$3:$D$26,'Tariff calculation'!A7,'Main sheet'!$R$3:$R$26)</f>
        <v>8</v>
      </c>
      <c r="D7" s="63">
        <f>B7*Parameters!$B$6</f>
        <v>13.336131242498695</v>
      </c>
      <c r="E7" s="63">
        <f t="shared" si="0"/>
        <v>1.6670164053123369</v>
      </c>
      <c r="F7" s="79" t="str">
        <f>IF(LEFT(A7,7)="Storage",Parameters!$B$9,IF(LEFT(A7,7)="LNG",Parameters!$B$10,"no"))</f>
        <v>no</v>
      </c>
      <c r="G7" s="55">
        <f t="shared" si="1"/>
        <v>1.6670164053123369</v>
      </c>
      <c r="H7" s="64">
        <f t="shared" si="2"/>
        <v>1.6782065901417387</v>
      </c>
    </row>
    <row r="8" spans="1:8" x14ac:dyDescent="0.25">
      <c r="A8" s="70" t="s">
        <v>46</v>
      </c>
      <c r="B8" s="67">
        <f>SUMIF('Distance matrix'!$F$4:$R$4,'Tariff calculation'!A8,'Distance matrix'!$F$18:$R$18)</f>
        <v>0.21257040837020452</v>
      </c>
      <c r="C8" s="62">
        <f>SUMIF('Main sheet'!$D$3:$D$26,'Tariff calculation'!A8,'Main sheet'!$R$3:$R$26)</f>
        <v>60</v>
      </c>
      <c r="D8" s="63">
        <f>B8*Parameters!$B$6</f>
        <v>106.28520418510226</v>
      </c>
      <c r="E8" s="63">
        <f t="shared" si="0"/>
        <v>1.7714200697517044</v>
      </c>
      <c r="F8" s="79" t="str">
        <f>IF(LEFT(A8,7)="Storage",Parameters!$B$9,IF(LEFT(A8,7)="LNG",Parameters!$B$10,"no"))</f>
        <v>no</v>
      </c>
      <c r="G8" s="55">
        <f t="shared" si="1"/>
        <v>1.7714200697517044</v>
      </c>
      <c r="H8" s="64">
        <f t="shared" si="2"/>
        <v>1.7833110852977208</v>
      </c>
    </row>
    <row r="9" spans="1:8" x14ac:dyDescent="0.25">
      <c r="A9" s="70" t="s">
        <v>49</v>
      </c>
      <c r="B9" s="67">
        <f>SUMIF('Distance matrix'!$F$4:$R$4,'Tariff calculation'!A9,'Distance matrix'!$F$18:$R$18)</f>
        <v>0.24894796572256597</v>
      </c>
      <c r="C9" s="62">
        <f>SUMIF('Main sheet'!$D$3:$D$26,'Tariff calculation'!A9,'Main sheet'!$R$3:$R$26)</f>
        <v>80</v>
      </c>
      <c r="D9" s="63">
        <f>B9*Parameters!$B$6</f>
        <v>124.47398286128299</v>
      </c>
      <c r="E9" s="63">
        <f t="shared" si="0"/>
        <v>1.5559247857660374</v>
      </c>
      <c r="F9" s="79" t="str">
        <f>IF(LEFT(A9,7)="Storage",Parameters!$B$9,IF(LEFT(A9,7)="LNG",Parameters!$B$10,"no"))</f>
        <v>no</v>
      </c>
      <c r="G9" s="55">
        <f t="shared" si="1"/>
        <v>1.5559247857660374</v>
      </c>
      <c r="H9" s="64">
        <f t="shared" si="2"/>
        <v>1.5663692456273111</v>
      </c>
    </row>
    <row r="10" spans="1:8" ht="15.75" thickBot="1" x14ac:dyDescent="0.3">
      <c r="A10" s="71" t="s">
        <v>10</v>
      </c>
      <c r="B10" s="68">
        <f>SUMIF('Distance matrix'!$F$4:$R$4,'Tariff calculation'!A10,'Distance matrix'!$F$18:$R$18)</f>
        <v>1.6590625200907413E-2</v>
      </c>
      <c r="C10" s="65">
        <f>SUMIF('Main sheet'!$D$3:$D$26,'Tariff calculation'!A10,'Main sheet'!$R$3:$R$26)</f>
        <v>20</v>
      </c>
      <c r="D10" s="50">
        <f>B10*Parameters!$B$6</f>
        <v>8.2953126004537072</v>
      </c>
      <c r="E10" s="50">
        <f t="shared" si="0"/>
        <v>0.41476563002268535</v>
      </c>
      <c r="F10" s="80" t="str">
        <f>IF(LEFT(A10,7)="Storage",Parameters!$B$9,IF(LEFT(A10,7)="LNG",Parameters!$B$10,"no"))</f>
        <v>no</v>
      </c>
      <c r="G10" s="49">
        <f t="shared" si="1"/>
        <v>0.41476563002268535</v>
      </c>
      <c r="H10" s="66">
        <f t="shared" si="2"/>
        <v>0.41754982821416475</v>
      </c>
    </row>
    <row r="11" spans="1:8" x14ac:dyDescent="0.25">
      <c r="F11" s="8" t="s">
        <v>80</v>
      </c>
      <c r="G11" s="82">
        <f>SUMPRODUCT(G2:G10,$C$2:$C$10)</f>
        <v>496.666028814588</v>
      </c>
      <c r="H11" s="54">
        <f>SUMPRODUCT(H2:H10,$C$2:$C$10)</f>
        <v>499.99999999999994</v>
      </c>
    </row>
    <row r="12" spans="1:8" ht="15.75" thickBot="1" x14ac:dyDescent="0.3">
      <c r="F12" s="4" t="s">
        <v>82</v>
      </c>
      <c r="G12" s="50">
        <f>SUM($D$2:$D$10)/$G$11</f>
        <v>1.006712702282798</v>
      </c>
      <c r="H12" s="51"/>
    </row>
    <row r="14" spans="1:8" ht="15.75" thickBot="1" x14ac:dyDescent="0.3"/>
    <row r="15" spans="1:8" ht="15.75" thickBot="1" x14ac:dyDescent="0.3">
      <c r="A15" s="75" t="s">
        <v>83</v>
      </c>
      <c r="B15" s="76" t="s">
        <v>72</v>
      </c>
      <c r="C15" s="76" t="s">
        <v>73</v>
      </c>
      <c r="D15" s="76" t="s">
        <v>76</v>
      </c>
      <c r="E15" s="76" t="s">
        <v>77</v>
      </c>
      <c r="F15" s="76" t="s">
        <v>79</v>
      </c>
      <c r="G15" s="81" t="s">
        <v>78</v>
      </c>
      <c r="H15" s="77" t="s">
        <v>81</v>
      </c>
    </row>
    <row r="16" spans="1:8" x14ac:dyDescent="0.25">
      <c r="A16" s="70" t="s">
        <v>65</v>
      </c>
      <c r="B16" s="72">
        <f>SUMIF('Distance matrix'!$D$6:$D$16,'Tariff calculation'!A16,'Distance matrix'!$T$6:$T$16)</f>
        <v>2.6873566961043358E-3</v>
      </c>
      <c r="C16" s="73">
        <f>SUMIF('Main sheet'!$D$3:$D$26,'Tariff calculation'!A16,'Main sheet'!$R$3:$R$26)</f>
        <v>3</v>
      </c>
      <c r="D16" s="44">
        <f>B16*Parameters!$B$7</f>
        <v>1.3436783480521679</v>
      </c>
      <c r="E16" s="44">
        <f>D16/C16</f>
        <v>0.44789278268405597</v>
      </c>
      <c r="F16" s="78">
        <f>IF(LEFT(A16,7)="Storage",Parameters!$B$9,IF(LEFT(A16,7)="LNG",Parameters!$B$10,"no"))</f>
        <v>0.5</v>
      </c>
      <c r="G16" s="47">
        <f>IFERROR(E16*(1-F16),E16)</f>
        <v>0.22394639134202798</v>
      </c>
      <c r="H16" s="74">
        <f>G16*$G$25</f>
        <v>0.22424770813204534</v>
      </c>
    </row>
    <row r="17" spans="1:8" x14ac:dyDescent="0.25">
      <c r="A17" s="70" t="s">
        <v>41</v>
      </c>
      <c r="B17" s="67">
        <f>SUMIF('Distance matrix'!$D$6:$D$16,'Tariff calculation'!A17,'Distance matrix'!$T$6:$T$16)</f>
        <v>0.27554065243905024</v>
      </c>
      <c r="C17" s="62">
        <f>SUMIF('Main sheet'!$D$3:$D$26,'Tariff calculation'!A17,'Main sheet'!$R$3:$R$26)</f>
        <v>90</v>
      </c>
      <c r="D17" s="63">
        <f>B17*Parameters!$B$7</f>
        <v>137.77032621952512</v>
      </c>
      <c r="E17" s="63">
        <f t="shared" ref="E17:E23" si="3">D17/C17</f>
        <v>1.5307814024391679</v>
      </c>
      <c r="F17" s="79" t="str">
        <f>IF(LEFT(A17,7)="Storage",Parameters!$B$9,IF(LEFT(A17,7)="LNG",Parameters!$B$10,"no"))</f>
        <v>no</v>
      </c>
      <c r="G17" s="55">
        <f t="shared" ref="G17:G23" si="4">IFERROR(E17*(1-F17),E17)</f>
        <v>1.5307814024391679</v>
      </c>
      <c r="H17" s="64">
        <f t="shared" ref="H17:H23" si="5">G17*$G$25</f>
        <v>1.5328410477660568</v>
      </c>
    </row>
    <row r="18" spans="1:8" x14ac:dyDescent="0.25">
      <c r="A18" s="70" t="s">
        <v>66</v>
      </c>
      <c r="B18" s="67">
        <f>SUMIF('Distance matrix'!$D$6:$D$16,'Tariff calculation'!A18,'Distance matrix'!$T$6:$T$16)</f>
        <v>0.1402015909346464</v>
      </c>
      <c r="C18" s="62">
        <f>SUMIF('Main sheet'!$D$3:$D$26,'Tariff calculation'!A18,'Main sheet'!$R$3:$R$26)</f>
        <v>70</v>
      </c>
      <c r="D18" s="63">
        <f>B18*Parameters!$B$7</f>
        <v>70.100795467323195</v>
      </c>
      <c r="E18" s="63">
        <f t="shared" si="3"/>
        <v>1.0014399352474743</v>
      </c>
      <c r="F18" s="79" t="str">
        <f>IF(LEFT(A18,7)="Storage",Parameters!$B$9,IF(LEFT(A18,7)="LNG",Parameters!$B$10,"no"))</f>
        <v>no</v>
      </c>
      <c r="G18" s="55">
        <f t="shared" si="4"/>
        <v>1.0014399352474743</v>
      </c>
      <c r="H18" s="64">
        <f t="shared" si="5"/>
        <v>1.0027873589093412</v>
      </c>
    </row>
    <row r="19" spans="1:8" x14ac:dyDescent="0.25">
      <c r="A19" s="70" t="s">
        <v>44</v>
      </c>
      <c r="B19" s="67">
        <f>SUMIF('Distance matrix'!$D$6:$D$16,'Tariff calculation'!A19,'Distance matrix'!$T$6:$T$16)</f>
        <v>0.13743927798284866</v>
      </c>
      <c r="C19" s="62">
        <f>SUMIF('Main sheet'!$D$3:$D$26,'Tariff calculation'!A19,'Main sheet'!$R$3:$R$26)</f>
        <v>50</v>
      </c>
      <c r="D19" s="63">
        <f>B19*Parameters!$B$7</f>
        <v>68.719638991424333</v>
      </c>
      <c r="E19" s="63">
        <f t="shared" si="3"/>
        <v>1.3743927798284867</v>
      </c>
      <c r="F19" s="79" t="str">
        <f>IF(LEFT(A19,7)="Storage",Parameters!$B$9,IF(LEFT(A19,7)="LNG",Parameters!$B$10,"no"))</f>
        <v>no</v>
      </c>
      <c r="G19" s="55">
        <f t="shared" si="4"/>
        <v>1.3743927798284867</v>
      </c>
      <c r="H19" s="64">
        <f t="shared" si="5"/>
        <v>1.3762420064141854</v>
      </c>
    </row>
    <row r="20" spans="1:8" x14ac:dyDescent="0.25">
      <c r="A20" s="70" t="s">
        <v>47</v>
      </c>
      <c r="B20" s="67">
        <f>SUMIF('Distance matrix'!$D$6:$D$16,'Tariff calculation'!A20,'Distance matrix'!$T$6:$T$16)</f>
        <v>0.11508179200953329</v>
      </c>
      <c r="C20" s="62">
        <f>SUMIF('Main sheet'!$D$3:$D$26,'Tariff calculation'!A20,'Main sheet'!$R$3:$R$26)</f>
        <v>40</v>
      </c>
      <c r="D20" s="63">
        <f>B20*Parameters!$B$7</f>
        <v>57.540896004766644</v>
      </c>
      <c r="E20" s="63">
        <f t="shared" si="3"/>
        <v>1.4385224001191661</v>
      </c>
      <c r="F20" s="79" t="str">
        <f>IF(LEFT(A20,7)="Storage",Parameters!$B$9,IF(LEFT(A20,7)="LNG",Parameters!$B$10,"no"))</f>
        <v>no</v>
      </c>
      <c r="G20" s="55">
        <f t="shared" si="4"/>
        <v>1.4385224001191661</v>
      </c>
      <c r="H20" s="64">
        <f t="shared" si="5"/>
        <v>1.4404579122271062</v>
      </c>
    </row>
    <row r="21" spans="1:8" x14ac:dyDescent="0.25">
      <c r="A21" s="70" t="s">
        <v>48</v>
      </c>
      <c r="B21" s="67">
        <f>SUMIF('Distance matrix'!$D$6:$D$16,'Tariff calculation'!A21,'Distance matrix'!$T$6:$T$16)</f>
        <v>0.21287295809103401</v>
      </c>
      <c r="C21" s="62">
        <f>SUMIF('Main sheet'!$D$3:$D$26,'Tariff calculation'!A21,'Main sheet'!$R$3:$R$26)</f>
        <v>90</v>
      </c>
      <c r="D21" s="63">
        <f>B21*Parameters!$B$7</f>
        <v>106.436479045517</v>
      </c>
      <c r="E21" s="63">
        <f t="shared" si="3"/>
        <v>1.1826275449501888</v>
      </c>
      <c r="F21" s="79" t="str">
        <f>IF(LEFT(A21,7)="Storage",Parameters!$B$9,IF(LEFT(A21,7)="LNG",Parameters!$B$10,"no"))</f>
        <v>no</v>
      </c>
      <c r="G21" s="55">
        <f t="shared" si="4"/>
        <v>1.1826275449501888</v>
      </c>
      <c r="H21" s="64">
        <f t="shared" si="5"/>
        <v>1.1842187540493623</v>
      </c>
    </row>
    <row r="22" spans="1:8" x14ac:dyDescent="0.25">
      <c r="A22" s="70" t="s">
        <v>67</v>
      </c>
      <c r="B22" s="67">
        <f>SUMIF('Distance matrix'!$D$6:$D$16,'Tariff calculation'!A22,'Distance matrix'!$T$6:$T$16)</f>
        <v>9.5856526925536728E-2</v>
      </c>
      <c r="C22" s="62">
        <f>SUMIF('Main sheet'!$D$3:$D$26,'Tariff calculation'!A22,'Main sheet'!$R$3:$R$26)</f>
        <v>60</v>
      </c>
      <c r="D22" s="63">
        <f>B22*Parameters!$B$7</f>
        <v>47.928263462768363</v>
      </c>
      <c r="E22" s="63">
        <f t="shared" si="3"/>
        <v>0.79880439104613943</v>
      </c>
      <c r="F22" s="79" t="str">
        <f>IF(LEFT(A22,7)="Storage",Parameters!$B$9,IF(LEFT(A22,7)="LNG",Parameters!$B$10,"no"))</f>
        <v>no</v>
      </c>
      <c r="G22" s="55">
        <f t="shared" si="4"/>
        <v>0.79880439104613943</v>
      </c>
      <c r="H22" s="64">
        <f t="shared" si="5"/>
        <v>0.79987917136976694</v>
      </c>
    </row>
    <row r="23" spans="1:8" ht="15.75" thickBot="1" x14ac:dyDescent="0.3">
      <c r="A23" s="71" t="s">
        <v>11</v>
      </c>
      <c r="B23" s="68">
        <f>SUMIF('Distance matrix'!$D$6:$D$16,'Tariff calculation'!A23,'Distance matrix'!$T$6:$T$16)</f>
        <v>2.0319844921246312E-2</v>
      </c>
      <c r="C23" s="65">
        <f>SUMIF('Main sheet'!$D$3:$D$26,'Tariff calculation'!A23,'Main sheet'!$R$3:$R$26)</f>
        <v>24</v>
      </c>
      <c r="D23" s="50">
        <f>B23*Parameters!$B$7</f>
        <v>10.159922460623156</v>
      </c>
      <c r="E23" s="50">
        <f t="shared" si="3"/>
        <v>0.42333010252596481</v>
      </c>
      <c r="F23" s="80" t="str">
        <f>IF(LEFT(A23,7)="Storage",Parameters!$B$9,IF(LEFT(A23,7)="LNG",Parameters!$B$10,"no"))</f>
        <v>no</v>
      </c>
      <c r="G23" s="49">
        <f t="shared" si="4"/>
        <v>0.42333010252596481</v>
      </c>
      <c r="H23" s="66">
        <f t="shared" si="5"/>
        <v>0.4238996873576133</v>
      </c>
    </row>
    <row r="24" spans="1:8" x14ac:dyDescent="0.25">
      <c r="F24" s="8" t="s">
        <v>80</v>
      </c>
      <c r="G24" s="82">
        <f>SUMPRODUCT(G16:G23,$C$16:$C$23)</f>
        <v>499.3281608259739</v>
      </c>
      <c r="H24" s="54">
        <f>SUMPRODUCT(H16:H23,$C$16:$C$23)</f>
        <v>499.99999999999994</v>
      </c>
    </row>
    <row r="25" spans="1:8" ht="15.75" thickBot="1" x14ac:dyDescent="0.3">
      <c r="F25" s="4" t="s">
        <v>82</v>
      </c>
      <c r="G25" s="50">
        <f>SUM($D$16:$D$23)/$G$24</f>
        <v>1.0013454862487923</v>
      </c>
      <c r="H25" s="51"/>
    </row>
  </sheetData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0"/>
  <sheetViews>
    <sheetView workbookViewId="0">
      <selection activeCell="B10" sqref="B10"/>
    </sheetView>
  </sheetViews>
  <sheetFormatPr baseColWidth="10" defaultColWidth="11.42578125" defaultRowHeight="15" x14ac:dyDescent="0.25"/>
  <cols>
    <col min="1" max="1" width="44.42578125" bestFit="1" customWidth="1"/>
    <col min="2" max="2" width="17.140625" bestFit="1" customWidth="1"/>
    <col min="3" max="3" width="16.140625" bestFit="1" customWidth="1"/>
    <col min="4" max="4" width="13" bestFit="1" customWidth="1"/>
    <col min="5" max="5" width="18.28515625" bestFit="1" customWidth="1"/>
  </cols>
  <sheetData>
    <row r="1" spans="1:5" ht="15.75" thickBot="1" x14ac:dyDescent="0.3">
      <c r="A1" s="75"/>
      <c r="B1" s="76" t="s">
        <v>56</v>
      </c>
      <c r="C1" s="76" t="s">
        <v>57</v>
      </c>
      <c r="D1" s="76" t="s">
        <v>58</v>
      </c>
      <c r="E1" s="77" t="s">
        <v>59</v>
      </c>
    </row>
    <row r="2" spans="1:5" ht="15.75" thickBot="1" x14ac:dyDescent="0.3">
      <c r="A2" s="71" t="s">
        <v>55</v>
      </c>
      <c r="B2" s="83">
        <v>1.1000000000000001</v>
      </c>
      <c r="C2" s="84">
        <v>1.25</v>
      </c>
      <c r="D2" s="84">
        <v>1.4</v>
      </c>
      <c r="E2" s="85">
        <v>1.4</v>
      </c>
    </row>
    <row r="3" spans="1:5" ht="15.75" thickBot="1" x14ac:dyDescent="0.3"/>
    <row r="4" spans="1:5" x14ac:dyDescent="0.25">
      <c r="A4" s="69" t="s">
        <v>26</v>
      </c>
      <c r="B4" s="86">
        <v>1000</v>
      </c>
    </row>
    <row r="5" spans="1:5" x14ac:dyDescent="0.25">
      <c r="A5" s="70" t="s">
        <v>20</v>
      </c>
      <c r="B5" s="87">
        <v>0.5</v>
      </c>
    </row>
    <row r="6" spans="1:5" x14ac:dyDescent="0.25">
      <c r="A6" s="70" t="s">
        <v>21</v>
      </c>
      <c r="B6" s="88">
        <f>B5*B4</f>
        <v>500</v>
      </c>
    </row>
    <row r="7" spans="1:5" ht="15.75" thickBot="1" x14ac:dyDescent="0.3">
      <c r="A7" s="71" t="s">
        <v>22</v>
      </c>
      <c r="B7" s="89">
        <f>(1-B5)*B4</f>
        <v>500</v>
      </c>
    </row>
    <row r="8" spans="1:5" ht="15.75" thickBot="1" x14ac:dyDescent="0.3">
      <c r="B8" s="12"/>
    </row>
    <row r="9" spans="1:5" ht="15.75" thickBot="1" x14ac:dyDescent="0.3">
      <c r="A9" s="81" t="s">
        <v>63</v>
      </c>
      <c r="B9" s="90">
        <v>0.5</v>
      </c>
    </row>
    <row r="10" spans="1:5" ht="15.75" thickBot="1" x14ac:dyDescent="0.3">
      <c r="A10" s="81" t="s">
        <v>85</v>
      </c>
      <c r="B10" s="90" t="s">
        <v>25</v>
      </c>
    </row>
  </sheetData>
  <pageMargins left="0.7" right="0.7" top="0.78740157499999996" bottom="0.78740157499999996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Cover</vt:lpstr>
      <vt:lpstr>Network representation</vt:lpstr>
      <vt:lpstr>Main sheet</vt:lpstr>
      <vt:lpstr>Distance matrix</vt:lpstr>
      <vt:lpstr>Tariff calculation</vt:lpstr>
      <vt:lpstr>Parameters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Identifier DocCode CreationDateYYMMDD DocType Content Version</dc:title>
  <dc:creator>Laurent Percebois</dc:creator>
  <cp:lastModifiedBy>Markus Oswald</cp:lastModifiedBy>
  <dcterms:created xsi:type="dcterms:W3CDTF">2012-03-14T14:40:38Z</dcterms:created>
  <dcterms:modified xsi:type="dcterms:W3CDTF">2017-09-28T06:16:26Z</dcterms:modified>
</cp:coreProperties>
</file>