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540" yWindow="465" windowWidth="15600" windowHeight="7335" activeTab="1"/>
  </bookViews>
  <sheets>
    <sheet name="Input" sheetId="1" r:id="rId1"/>
    <sheet name="Indicators" sheetId="2" r:id="rId2"/>
    <sheet name="Monetary Analysis" sheetId="3" r:id="rId3"/>
    <sheet name="Sheet1" sheetId="4" r:id="rId4"/>
  </sheets>
  <calcPr calcId="145621"/>
</workbook>
</file>

<file path=xl/calcChain.xml><?xml version="1.0" encoding="utf-8"?>
<calcChain xmlns="http://schemas.openxmlformats.org/spreadsheetml/2006/main">
  <c r="E49" i="2" l="1"/>
  <c r="N80" i="3" l="1"/>
  <c r="L80" i="3"/>
  <c r="G80" i="3"/>
  <c r="F80" i="3"/>
  <c r="E80" i="3"/>
  <c r="P80" i="3" s="1"/>
  <c r="D81" i="3" l="1"/>
  <c r="D75" i="3"/>
  <c r="D85" i="3" s="1"/>
  <c r="F78" i="3"/>
  <c r="F86" i="3" s="1"/>
  <c r="E78" i="3"/>
  <c r="E86" i="3" s="1"/>
  <c r="D78" i="3"/>
  <c r="D86" i="3" s="1"/>
  <c r="Q6" i="3"/>
  <c r="Q5" i="3"/>
  <c r="H43" i="1" l="1"/>
  <c r="G43" i="1"/>
  <c r="F43" i="1"/>
  <c r="E43" i="1"/>
  <c r="D43" i="1"/>
  <c r="C43" i="1"/>
  <c r="H42" i="1"/>
  <c r="G42" i="1"/>
  <c r="F42" i="1"/>
  <c r="E42" i="1"/>
  <c r="D42" i="1"/>
  <c r="C42" i="1"/>
  <c r="H41" i="1"/>
  <c r="G41" i="1"/>
  <c r="F41" i="1"/>
  <c r="E41" i="1"/>
  <c r="D41" i="1"/>
  <c r="C41" i="1"/>
  <c r="H40" i="1"/>
  <c r="G40" i="1"/>
  <c r="F40" i="1"/>
  <c r="E40" i="1"/>
  <c r="D40" i="1"/>
  <c r="C40" i="1"/>
  <c r="H12" i="1"/>
  <c r="G12" i="1"/>
  <c r="F12" i="1"/>
  <c r="E12" i="1"/>
  <c r="D12" i="1"/>
  <c r="C12" i="1"/>
  <c r="H9" i="1"/>
  <c r="G9" i="1"/>
  <c r="F9" i="1"/>
  <c r="E9" i="1"/>
  <c r="D9" i="1"/>
  <c r="C9" i="1"/>
  <c r="H4" i="1"/>
  <c r="G4" i="1"/>
  <c r="F4" i="1"/>
  <c r="E4" i="1"/>
  <c r="D4" i="1"/>
  <c r="C4" i="1"/>
  <c r="F75" i="3"/>
  <c r="F85" i="3" s="1"/>
  <c r="E75" i="3"/>
  <c r="E85" i="3" s="1"/>
  <c r="P74" i="3"/>
  <c r="P73" i="3"/>
  <c r="N73" i="3"/>
  <c r="N75" i="3" s="1"/>
  <c r="N85" i="3" s="1"/>
  <c r="L73" i="3"/>
  <c r="L75" i="3" s="1"/>
  <c r="L85" i="3" s="1"/>
  <c r="G73" i="3"/>
  <c r="G75" i="3" s="1"/>
  <c r="G85" i="3" s="1"/>
  <c r="D91" i="3" l="1"/>
  <c r="E79" i="3"/>
  <c r="F79" i="3"/>
  <c r="F81" i="3" s="1"/>
  <c r="F97" i="3" s="1"/>
  <c r="P75" i="3"/>
  <c r="P85" i="3" s="1"/>
  <c r="E81" i="3" l="1"/>
  <c r="E97" i="3" s="1"/>
  <c r="P66" i="3" l="1"/>
  <c r="N66" i="3"/>
  <c r="L66" i="3"/>
  <c r="G66" i="3"/>
  <c r="U32" i="3" l="1"/>
  <c r="U33" i="3" s="1"/>
  <c r="U34" i="3" s="1"/>
  <c r="W19" i="3"/>
  <c r="Y19" i="3" s="1"/>
  <c r="V22" i="3" s="1"/>
  <c r="U14" i="3"/>
  <c r="P43" i="3" l="1"/>
  <c r="N43" i="3"/>
  <c r="L43" i="3"/>
  <c r="G43" i="3"/>
  <c r="Q7" i="3" l="1"/>
  <c r="P30" i="3" s="1"/>
  <c r="M7" i="3"/>
  <c r="L30" i="3" s="1"/>
  <c r="L35" i="3" s="1"/>
  <c r="O7" i="3"/>
  <c r="N30" i="3" s="1"/>
  <c r="H6" i="3"/>
  <c r="M6" i="3"/>
  <c r="O6" i="3"/>
  <c r="N29" i="3" s="1"/>
  <c r="N34" i="3" s="1"/>
  <c r="P29" i="3"/>
  <c r="P28" i="3"/>
  <c r="O5" i="3"/>
  <c r="N28" i="3" s="1"/>
  <c r="N33" i="3" s="1"/>
  <c r="H7" i="3"/>
  <c r="G30" i="3" s="1"/>
  <c r="G35" i="3" s="1"/>
  <c r="M5" i="3"/>
  <c r="L28" i="3" s="1"/>
  <c r="L33" i="3" s="1"/>
  <c r="H5" i="3"/>
  <c r="L15" i="3" l="1"/>
  <c r="L55" i="3" s="1"/>
  <c r="L29" i="3"/>
  <c r="L34" i="3" s="1"/>
  <c r="G14" i="3"/>
  <c r="G23" i="3" s="1"/>
  <c r="G28" i="3"/>
  <c r="G15" i="3"/>
  <c r="G24" i="3" s="1"/>
  <c r="G29" i="3"/>
  <c r="N35" i="3"/>
  <c r="P33" i="3"/>
  <c r="P34" i="3"/>
  <c r="P48" i="3"/>
  <c r="P35" i="3"/>
  <c r="L14" i="3"/>
  <c r="L54" i="3" s="1"/>
  <c r="L16" i="3"/>
  <c r="L25" i="3" s="1"/>
  <c r="N14" i="3"/>
  <c r="N54" i="3" s="1"/>
  <c r="N15" i="3"/>
  <c r="N55" i="3" s="1"/>
  <c r="N16" i="3"/>
  <c r="N25" i="3" s="1"/>
  <c r="P14" i="3"/>
  <c r="P54" i="3" s="1"/>
  <c r="P15" i="3"/>
  <c r="P55" i="3" s="1"/>
  <c r="P16" i="3"/>
  <c r="P25" i="3" s="1"/>
  <c r="G16" i="3"/>
  <c r="G25" i="3" s="1"/>
  <c r="AF227" i="2"/>
  <c r="AE227" i="2"/>
  <c r="AD227" i="2"/>
  <c r="AC227" i="2"/>
  <c r="AB227" i="2"/>
  <c r="AA227" i="2"/>
  <c r="AF226" i="2"/>
  <c r="AE226" i="2"/>
  <c r="AD226" i="2"/>
  <c r="AC226" i="2"/>
  <c r="AB226" i="2"/>
  <c r="AA226" i="2"/>
  <c r="AF205" i="2"/>
  <c r="AE205" i="2"/>
  <c r="AD205" i="2"/>
  <c r="AC205" i="2"/>
  <c r="AB205" i="2"/>
  <c r="AA205" i="2"/>
  <c r="AF200" i="2"/>
  <c r="AE200" i="2"/>
  <c r="AD200" i="2"/>
  <c r="AC200" i="2"/>
  <c r="AB200" i="2"/>
  <c r="AA200" i="2"/>
  <c r="AA228" i="2"/>
  <c r="AA208" i="2" s="1"/>
  <c r="AB228" i="2"/>
  <c r="AB208" i="2" s="1"/>
  <c r="AC228" i="2"/>
  <c r="AC208" i="2" s="1"/>
  <c r="AD228" i="2"/>
  <c r="AD208" i="2" s="1"/>
  <c r="AE228" i="2"/>
  <c r="AE208" i="2" s="1"/>
  <c r="AF228" i="2"/>
  <c r="AF208" i="2" s="1"/>
  <c r="I58" i="2"/>
  <c r="I57" i="2"/>
  <c r="I56" i="2"/>
  <c r="I55" i="2"/>
  <c r="I54" i="2"/>
  <c r="M232" i="2" s="1"/>
  <c r="I53" i="2"/>
  <c r="M231" i="2" s="1"/>
  <c r="I52" i="2"/>
  <c r="M230" i="2" s="1"/>
  <c r="I51" i="2"/>
  <c r="M229" i="2" s="1"/>
  <c r="I50" i="2"/>
  <c r="M228" i="2" s="1"/>
  <c r="I49" i="2"/>
  <c r="M227" i="2" s="1"/>
  <c r="I48" i="2"/>
  <c r="M226" i="2" s="1"/>
  <c r="I47" i="2"/>
  <c r="I46" i="2"/>
  <c r="I45" i="2"/>
  <c r="I44" i="2"/>
  <c r="I43" i="2"/>
  <c r="J61" i="2" s="1"/>
  <c r="G31" i="3" s="1"/>
  <c r="G39" i="3" s="1"/>
  <c r="I42" i="2"/>
  <c r="M220" i="2" s="1"/>
  <c r="I41" i="2"/>
  <c r="M219" i="2" s="1"/>
  <c r="AB57" i="2"/>
  <c r="AC57" i="2"/>
  <c r="AD57" i="2"/>
  <c r="AE57" i="2"/>
  <c r="AF57" i="2"/>
  <c r="AA57" i="2"/>
  <c r="M233" i="2" l="1"/>
  <c r="G67" i="3"/>
  <c r="G68" i="3" s="1"/>
  <c r="G69" i="3" s="1"/>
  <c r="M236" i="2"/>
  <c r="S236" i="2" s="1"/>
  <c r="P67" i="3"/>
  <c r="P68" i="3" s="1"/>
  <c r="P69" i="3" s="1"/>
  <c r="M235" i="2"/>
  <c r="N67" i="3"/>
  <c r="N68" i="3" s="1"/>
  <c r="N69" i="3" s="1"/>
  <c r="M234" i="2"/>
  <c r="L67" i="3"/>
  <c r="L68" i="3" s="1"/>
  <c r="L69" i="3" s="1"/>
  <c r="M222" i="2"/>
  <c r="J62" i="2"/>
  <c r="P240" i="2" s="1"/>
  <c r="L31" i="3" s="1"/>
  <c r="M223" i="2"/>
  <c r="S223" i="2" s="1"/>
  <c r="J63" i="2"/>
  <c r="P241" i="2" s="1"/>
  <c r="N31" i="3" s="1"/>
  <c r="M224" i="2"/>
  <c r="J64" i="2"/>
  <c r="P242" i="2" s="1"/>
  <c r="P31" i="3" s="1"/>
  <c r="P39" i="3" s="1"/>
  <c r="L57" i="3"/>
  <c r="P57" i="3"/>
  <c r="N57" i="3"/>
  <c r="G55" i="3"/>
  <c r="L24" i="3"/>
  <c r="G26" i="3"/>
  <c r="G54" i="3"/>
  <c r="G34" i="3"/>
  <c r="G33" i="3"/>
  <c r="G37" i="3" s="1"/>
  <c r="G48" i="3"/>
  <c r="P24" i="3"/>
  <c r="P23" i="3"/>
  <c r="N23" i="3"/>
  <c r="N24" i="3"/>
  <c r="L23" i="3"/>
  <c r="L48" i="3"/>
  <c r="N48" i="3"/>
  <c r="P239" i="2"/>
  <c r="S231" i="2"/>
  <c r="J59" i="2"/>
  <c r="P237" i="2" s="1"/>
  <c r="S232" i="2"/>
  <c r="S233" i="2"/>
  <c r="M225" i="2"/>
  <c r="S225" i="2" s="1"/>
  <c r="S219" i="2"/>
  <c r="S234" i="2"/>
  <c r="S220" i="2"/>
  <c r="S235" i="2"/>
  <c r="S228" i="2"/>
  <c r="S224" i="2"/>
  <c r="S229" i="2"/>
  <c r="S222" i="2"/>
  <c r="S226" i="2"/>
  <c r="S230" i="2"/>
  <c r="S227" i="2"/>
  <c r="M221" i="2"/>
  <c r="S221" i="2" s="1"/>
  <c r="J60" i="2"/>
  <c r="P238" i="2" s="1"/>
  <c r="N39" i="3" l="1"/>
  <c r="N37" i="3" s="1"/>
  <c r="N41" i="3" s="1"/>
  <c r="N59" i="3" s="1"/>
  <c r="P37" i="3"/>
  <c r="P38" i="3" s="1"/>
  <c r="P42" i="3" s="1"/>
  <c r="P60" i="3" s="1"/>
  <c r="L39" i="3"/>
  <c r="L37" i="3" s="1"/>
  <c r="G38" i="3"/>
  <c r="G57" i="3"/>
  <c r="L26" i="3"/>
  <c r="P26" i="3"/>
  <c r="N26" i="3"/>
  <c r="AA24" i="2"/>
  <c r="E17" i="2"/>
  <c r="P41" i="3" l="1"/>
  <c r="P59" i="3" s="1"/>
  <c r="N46" i="3"/>
  <c r="P44" i="3"/>
  <c r="P49" i="3" s="1"/>
  <c r="N38" i="3"/>
  <c r="N44" i="3" s="1"/>
  <c r="N62" i="3" s="1"/>
  <c r="L41" i="3"/>
  <c r="L38" i="3"/>
  <c r="L42" i="3" s="1"/>
  <c r="P47" i="3"/>
  <c r="D236" i="2"/>
  <c r="T236" i="2" s="1"/>
  <c r="D232" i="2"/>
  <c r="T232" i="2" s="1"/>
  <c r="D235" i="2"/>
  <c r="T235" i="2" s="1"/>
  <c r="D234" i="2"/>
  <c r="T234" i="2" s="1"/>
  <c r="D231" i="2"/>
  <c r="T231" i="2" s="1"/>
  <c r="D233" i="2"/>
  <c r="T233" i="2" s="1"/>
  <c r="AW30" i="2"/>
  <c r="AW32" i="2" s="1"/>
  <c r="AX30" i="2"/>
  <c r="AX32" i="2" s="1"/>
  <c r="AY30" i="2"/>
  <c r="AY32" i="2" s="1"/>
  <c r="AZ30" i="2"/>
  <c r="AZ32" i="2" s="1"/>
  <c r="BA30" i="2"/>
  <c r="BA32" i="2" s="1"/>
  <c r="BB30" i="2"/>
  <c r="BB32" i="2" s="1"/>
  <c r="BC30" i="2"/>
  <c r="BC32" i="2" s="1"/>
  <c r="BD30" i="2"/>
  <c r="BD32" i="2" s="1"/>
  <c r="BE30" i="2"/>
  <c r="BE32" i="2" s="1"/>
  <c r="BF30" i="2"/>
  <c r="BF32" i="2" s="1"/>
  <c r="AW31" i="2"/>
  <c r="AW33" i="2" s="1"/>
  <c r="AX31" i="2"/>
  <c r="AX33" i="2" s="1"/>
  <c r="AY31" i="2"/>
  <c r="AY33" i="2" s="1"/>
  <c r="AZ31" i="2"/>
  <c r="AZ33" i="2" s="1"/>
  <c r="BA31" i="2"/>
  <c r="BA33" i="2" s="1"/>
  <c r="BB31" i="2"/>
  <c r="BB33" i="2" s="1"/>
  <c r="BC31" i="2"/>
  <c r="BC33" i="2" s="1"/>
  <c r="BD31" i="2"/>
  <c r="BD33" i="2" s="1"/>
  <c r="BE31" i="2"/>
  <c r="BE33" i="2" s="1"/>
  <c r="BF31" i="2"/>
  <c r="BF33" i="2" s="1"/>
  <c r="AV31" i="2"/>
  <c r="AV33" i="2" s="1"/>
  <c r="AV30" i="2"/>
  <c r="AV32" i="2" s="1"/>
  <c r="AW23" i="2"/>
  <c r="AX23" i="2"/>
  <c r="AY23" i="2"/>
  <c r="AZ23" i="2"/>
  <c r="BA23" i="2"/>
  <c r="BB23" i="2"/>
  <c r="BC23" i="2"/>
  <c r="BD23" i="2"/>
  <c r="BE23" i="2"/>
  <c r="BF23" i="2"/>
  <c r="AV23" i="2"/>
  <c r="AW20" i="2"/>
  <c r="AX20" i="2"/>
  <c r="AY20" i="2"/>
  <c r="AZ20" i="2"/>
  <c r="BA20" i="2"/>
  <c r="BB20" i="2"/>
  <c r="BC20" i="2"/>
  <c r="BD20" i="2"/>
  <c r="BE20" i="2"/>
  <c r="BF20" i="2"/>
  <c r="AV20" i="2"/>
  <c r="P46" i="3" l="1"/>
  <c r="Q44" i="3"/>
  <c r="N42" i="3"/>
  <c r="N60" i="3" s="1"/>
  <c r="N63" i="3" s="1"/>
  <c r="N64" i="3" s="1"/>
  <c r="P62" i="3"/>
  <c r="P63" i="3" s="1"/>
  <c r="P64" i="3" s="1"/>
  <c r="N49" i="3"/>
  <c r="L44" i="3"/>
  <c r="L60" i="3"/>
  <c r="L47" i="3"/>
  <c r="L59" i="3"/>
  <c r="L46" i="3"/>
  <c r="P50" i="3"/>
  <c r="P51" i="3" s="1"/>
  <c r="AC56" i="2"/>
  <c r="AC55" i="2"/>
  <c r="AA58" i="2"/>
  <c r="AF196" i="2"/>
  <c r="AE196" i="2"/>
  <c r="AD196" i="2"/>
  <c r="AC196" i="2"/>
  <c r="AB196" i="2"/>
  <c r="AA196" i="2"/>
  <c r="AF195" i="2"/>
  <c r="AE195" i="2"/>
  <c r="AD195" i="2"/>
  <c r="AC195" i="2"/>
  <c r="AB195" i="2"/>
  <c r="AA195" i="2"/>
  <c r="AF158" i="2"/>
  <c r="AE158" i="2"/>
  <c r="AD158" i="2"/>
  <c r="AC158" i="2"/>
  <c r="AB158" i="2"/>
  <c r="AA158" i="2"/>
  <c r="AF153" i="2"/>
  <c r="AE153" i="2"/>
  <c r="AD153" i="2"/>
  <c r="AC153" i="2"/>
  <c r="AB153" i="2"/>
  <c r="AA153" i="2"/>
  <c r="AF128" i="2"/>
  <c r="AE128" i="2"/>
  <c r="AD128" i="2"/>
  <c r="AC128" i="2"/>
  <c r="AB128" i="2"/>
  <c r="AA128" i="2"/>
  <c r="AF115" i="2"/>
  <c r="AE115" i="2"/>
  <c r="AD115" i="2"/>
  <c r="AC115" i="2"/>
  <c r="AB115" i="2"/>
  <c r="AA115" i="2"/>
  <c r="AF110" i="2"/>
  <c r="AE110" i="2"/>
  <c r="AD110" i="2"/>
  <c r="AC110" i="2"/>
  <c r="AB110" i="2"/>
  <c r="AA110" i="2"/>
  <c r="AF102" i="2"/>
  <c r="AF75" i="2" s="1"/>
  <c r="AE102" i="2"/>
  <c r="AE75" i="2" s="1"/>
  <c r="AD102" i="2"/>
  <c r="AD75" i="2" s="1"/>
  <c r="AC102" i="2"/>
  <c r="AC75" i="2" s="1"/>
  <c r="AB102" i="2"/>
  <c r="AB75" i="2" s="1"/>
  <c r="AA102" i="2"/>
  <c r="AA75" i="2" s="1"/>
  <c r="AF101" i="2"/>
  <c r="AE101" i="2"/>
  <c r="AD101" i="2"/>
  <c r="AC101" i="2"/>
  <c r="AB101" i="2"/>
  <c r="AA101" i="2"/>
  <c r="AF100" i="2"/>
  <c r="AE100" i="2"/>
  <c r="AD100" i="2"/>
  <c r="AC100" i="2"/>
  <c r="AB100" i="2"/>
  <c r="AA100" i="2"/>
  <c r="AF72" i="2"/>
  <c r="AE72" i="2"/>
  <c r="AD72" i="2"/>
  <c r="AC72" i="2"/>
  <c r="AB72" i="2"/>
  <c r="AA72" i="2"/>
  <c r="AF67" i="2"/>
  <c r="AE67" i="2"/>
  <c r="AD67" i="2"/>
  <c r="AC67" i="2"/>
  <c r="AB67" i="2"/>
  <c r="AA67" i="2"/>
  <c r="AF58" i="2"/>
  <c r="AE58" i="2"/>
  <c r="AD58" i="2"/>
  <c r="AC58" i="2"/>
  <c r="AB58" i="2"/>
  <c r="AF56" i="2"/>
  <c r="AE56" i="2"/>
  <c r="AD56" i="2"/>
  <c r="AB56" i="2"/>
  <c r="AA56" i="2"/>
  <c r="AF55" i="2"/>
  <c r="AE55" i="2"/>
  <c r="AD55" i="2"/>
  <c r="AB55" i="2"/>
  <c r="AA55" i="2"/>
  <c r="AF27" i="2"/>
  <c r="AE27" i="2"/>
  <c r="AD27" i="2"/>
  <c r="AC27" i="2"/>
  <c r="AB27" i="2"/>
  <c r="AA27" i="2"/>
  <c r="AF24" i="2"/>
  <c r="AE24" i="2"/>
  <c r="AD24" i="2"/>
  <c r="AC24" i="2"/>
  <c r="AB24" i="2"/>
  <c r="AF19" i="2"/>
  <c r="AE19" i="2"/>
  <c r="AD19" i="2"/>
  <c r="AC19" i="2"/>
  <c r="AB19" i="2"/>
  <c r="AA19" i="2"/>
  <c r="D186" i="1"/>
  <c r="E186" i="1"/>
  <c r="F186" i="1"/>
  <c r="G186" i="1"/>
  <c r="H186" i="1"/>
  <c r="C186" i="1"/>
  <c r="D185" i="1"/>
  <c r="E185" i="1"/>
  <c r="F185" i="1"/>
  <c r="G185" i="1"/>
  <c r="H185" i="1"/>
  <c r="C185" i="1"/>
  <c r="D184" i="1"/>
  <c r="E184" i="1"/>
  <c r="F184" i="1"/>
  <c r="G184" i="1"/>
  <c r="H184" i="1"/>
  <c r="C184" i="1"/>
  <c r="C152" i="1"/>
  <c r="C153" i="1"/>
  <c r="D153" i="1"/>
  <c r="E153" i="1"/>
  <c r="F153" i="1"/>
  <c r="G153" i="1"/>
  <c r="H153" i="1"/>
  <c r="D152" i="1"/>
  <c r="E152" i="1"/>
  <c r="F152" i="1"/>
  <c r="G152" i="1"/>
  <c r="H152" i="1"/>
  <c r="D104" i="1"/>
  <c r="E104" i="1"/>
  <c r="F104" i="1"/>
  <c r="G104" i="1"/>
  <c r="H104" i="1"/>
  <c r="C104" i="1"/>
  <c r="D82" i="1"/>
  <c r="E82" i="1"/>
  <c r="F82" i="1"/>
  <c r="G82" i="1"/>
  <c r="H82" i="1"/>
  <c r="C82" i="1"/>
  <c r="C81" i="1"/>
  <c r="C80" i="1"/>
  <c r="D80" i="1"/>
  <c r="E80" i="1"/>
  <c r="F80" i="1"/>
  <c r="G80" i="1"/>
  <c r="H80" i="1"/>
  <c r="D81" i="1"/>
  <c r="E81" i="1"/>
  <c r="F81" i="1"/>
  <c r="G81" i="1"/>
  <c r="H81" i="1"/>
  <c r="E28" i="2"/>
  <c r="E27" i="2"/>
  <c r="E26" i="2"/>
  <c r="E25" i="2"/>
  <c r="E24" i="2"/>
  <c r="E23" i="2"/>
  <c r="E22" i="2"/>
  <c r="E21" i="2"/>
  <c r="E19" i="2"/>
  <c r="E18" i="2"/>
  <c r="E20" i="2"/>
  <c r="H163" i="1"/>
  <c r="G163" i="1"/>
  <c r="F163" i="1"/>
  <c r="E163" i="1"/>
  <c r="D163" i="1"/>
  <c r="C163" i="1"/>
  <c r="H115" i="1"/>
  <c r="G115" i="1"/>
  <c r="F115" i="1"/>
  <c r="E115" i="1"/>
  <c r="D115" i="1"/>
  <c r="C115" i="1"/>
  <c r="H91" i="1"/>
  <c r="G91" i="1"/>
  <c r="F91" i="1"/>
  <c r="E91" i="1"/>
  <c r="D91" i="1"/>
  <c r="C91" i="1"/>
  <c r="H52" i="1"/>
  <c r="G52" i="1"/>
  <c r="F52" i="1"/>
  <c r="E52" i="1"/>
  <c r="D52" i="1"/>
  <c r="C52" i="1"/>
  <c r="D55" i="1"/>
  <c r="E55" i="1"/>
  <c r="F55" i="1"/>
  <c r="G55" i="1"/>
  <c r="H55" i="1"/>
  <c r="C55" i="1"/>
  <c r="D166" i="1"/>
  <c r="E166" i="1"/>
  <c r="F166" i="1"/>
  <c r="G166" i="1"/>
  <c r="H166" i="1"/>
  <c r="C166" i="1"/>
  <c r="D158" i="1"/>
  <c r="E158" i="1"/>
  <c r="F158" i="1"/>
  <c r="G158" i="1"/>
  <c r="H158" i="1"/>
  <c r="C158" i="1"/>
  <c r="D110" i="1"/>
  <c r="E110" i="1"/>
  <c r="F110" i="1"/>
  <c r="G110" i="1"/>
  <c r="H110" i="1"/>
  <c r="C110" i="1"/>
  <c r="D86" i="1"/>
  <c r="E86" i="1"/>
  <c r="F86" i="1"/>
  <c r="G86" i="1"/>
  <c r="H86" i="1"/>
  <c r="C86" i="1"/>
  <c r="D47" i="1"/>
  <c r="E47" i="1"/>
  <c r="F47" i="1"/>
  <c r="G47" i="1"/>
  <c r="H47" i="1"/>
  <c r="C47" i="1"/>
  <c r="O44" i="3" l="1"/>
  <c r="N47" i="3"/>
  <c r="N50" i="3" s="1"/>
  <c r="N51" i="3" s="1"/>
  <c r="N52" i="3" s="1"/>
  <c r="N76" i="3" s="1"/>
  <c r="L62" i="3"/>
  <c r="L63" i="3" s="1"/>
  <c r="L64" i="3" s="1"/>
  <c r="L49" i="3"/>
  <c r="L50" i="3" s="1"/>
  <c r="L51" i="3" s="1"/>
  <c r="L52" i="3" s="1"/>
  <c r="M44" i="3"/>
  <c r="P52" i="3"/>
  <c r="D221" i="2"/>
  <c r="T221" i="2" s="1"/>
  <c r="D50" i="2"/>
  <c r="K44" i="2"/>
  <c r="K56" i="2"/>
  <c r="K50" i="2"/>
  <c r="E50" i="2"/>
  <c r="K45" i="2"/>
  <c r="E51" i="2"/>
  <c r="K57" i="2"/>
  <c r="K51" i="2"/>
  <c r="K54" i="2"/>
  <c r="K48" i="2"/>
  <c r="K42" i="2"/>
  <c r="E52" i="2"/>
  <c r="K52" i="2"/>
  <c r="K46" i="2"/>
  <c r="K58" i="2"/>
  <c r="K47" i="2"/>
  <c r="K41" i="2"/>
  <c r="K53" i="2"/>
  <c r="K49" i="2"/>
  <c r="E43" i="2"/>
  <c r="K55" i="2"/>
  <c r="K43" i="2"/>
  <c r="D49" i="2"/>
  <c r="E47" i="2"/>
  <c r="D53" i="2"/>
  <c r="D219" i="2"/>
  <c r="T219" i="2" s="1"/>
  <c r="E48" i="2"/>
  <c r="D227" i="2"/>
  <c r="T227" i="2" s="1"/>
  <c r="D48" i="2"/>
  <c r="E42" i="2"/>
  <c r="D54" i="2"/>
  <c r="D42" i="2"/>
  <c r="D46" i="2"/>
  <c r="D52" i="2"/>
  <c r="E46" i="2"/>
  <c r="D58" i="2"/>
  <c r="D43" i="2"/>
  <c r="D55" i="2"/>
  <c r="D44" i="2"/>
  <c r="E44" i="2"/>
  <c r="E45" i="2"/>
  <c r="D45" i="2"/>
  <c r="D51" i="2"/>
  <c r="E41" i="2"/>
  <c r="D47" i="2"/>
  <c r="D41" i="2"/>
  <c r="D226" i="2"/>
  <c r="T226" i="2" s="1"/>
  <c r="D220" i="2"/>
  <c r="T220" i="2" s="1"/>
  <c r="D222" i="2"/>
  <c r="T222" i="2" s="1"/>
  <c r="D228" i="2"/>
  <c r="T228" i="2" s="1"/>
  <c r="D225" i="2"/>
  <c r="T225" i="2" s="1"/>
  <c r="D230" i="2"/>
  <c r="T230" i="2" s="1"/>
  <c r="D224" i="2"/>
  <c r="T224" i="2" s="1"/>
  <c r="D229" i="2"/>
  <c r="T229" i="2" s="1"/>
  <c r="D223" i="2"/>
  <c r="T223" i="2" s="1"/>
  <c r="E56" i="2"/>
  <c r="D56" i="2"/>
  <c r="E57" i="2"/>
  <c r="E54" i="2"/>
  <c r="E58" i="2"/>
  <c r="E53" i="2"/>
  <c r="E55" i="2"/>
  <c r="D57" i="2"/>
  <c r="L76" i="3" l="1"/>
  <c r="L78" i="3" s="1"/>
  <c r="N78" i="3"/>
  <c r="P76" i="3"/>
  <c r="F232" i="2"/>
  <c r="K232" i="2" s="1"/>
  <c r="F49" i="2"/>
  <c r="G49" i="2" s="1"/>
  <c r="F226" i="2"/>
  <c r="K226" i="2" s="1"/>
  <c r="F47" i="2"/>
  <c r="G47" i="2" s="1"/>
  <c r="F219" i="2"/>
  <c r="K219" i="2" s="1"/>
  <c r="F52" i="2"/>
  <c r="G52" i="2" s="1"/>
  <c r="F225" i="2"/>
  <c r="K225" i="2" s="1"/>
  <c r="F55" i="2"/>
  <c r="G55" i="2" s="1"/>
  <c r="F51" i="2"/>
  <c r="G51" i="2" s="1"/>
  <c r="F56" i="2"/>
  <c r="G56" i="2" s="1"/>
  <c r="F43" i="2"/>
  <c r="G43" i="2" s="1"/>
  <c r="F228" i="2"/>
  <c r="K228" i="2" s="1"/>
  <c r="F220" i="2"/>
  <c r="K220" i="2" s="1"/>
  <c r="F44" i="2"/>
  <c r="G44" i="2" s="1"/>
  <c r="F46" i="2"/>
  <c r="G46" i="2" s="1"/>
  <c r="F54" i="2"/>
  <c r="G54" i="2" s="1"/>
  <c r="F223" i="2"/>
  <c r="K223" i="2" s="1"/>
  <c r="F221" i="2"/>
  <c r="K221" i="2" s="1"/>
  <c r="F222" i="2"/>
  <c r="K222" i="2" s="1"/>
  <c r="F50" i="2"/>
  <c r="G50" i="2" s="1"/>
  <c r="F42" i="2"/>
  <c r="G42" i="2" s="1"/>
  <c r="F53" i="2"/>
  <c r="G53" i="2" s="1"/>
  <c r="F58" i="2"/>
  <c r="G58" i="2" s="1"/>
  <c r="F224" i="2"/>
  <c r="K224" i="2" s="1"/>
  <c r="F48" i="2"/>
  <c r="G48" i="2" s="1"/>
  <c r="F229" i="2"/>
  <c r="K229" i="2" s="1"/>
  <c r="F236" i="2"/>
  <c r="K236" i="2" s="1"/>
  <c r="F235" i="2"/>
  <c r="K235" i="2" s="1"/>
  <c r="F233" i="2"/>
  <c r="K233" i="2" s="1"/>
  <c r="F230" i="2"/>
  <c r="K230" i="2" s="1"/>
  <c r="F234" i="2"/>
  <c r="K234" i="2" s="1"/>
  <c r="F227" i="2"/>
  <c r="K227" i="2" s="1"/>
  <c r="F41" i="2"/>
  <c r="G41" i="2" s="1"/>
  <c r="F231" i="2"/>
  <c r="K231" i="2" s="1"/>
  <c r="F57" i="2"/>
  <c r="G57" i="2" s="1"/>
  <c r="F45" i="2"/>
  <c r="G45" i="2" s="1"/>
  <c r="G42" i="3"/>
  <c r="G41" i="3"/>
  <c r="G46" i="3" s="1"/>
  <c r="N86" i="3" l="1"/>
  <c r="N79" i="3"/>
  <c r="N81" i="3" s="1"/>
  <c r="I97" i="3" s="1"/>
  <c r="L79" i="3"/>
  <c r="L81" i="3" s="1"/>
  <c r="H97" i="3" s="1"/>
  <c r="L86" i="3"/>
  <c r="P78" i="3"/>
  <c r="G47" i="3"/>
  <c r="G60" i="3"/>
  <c r="G59" i="3"/>
  <c r="G44" i="3"/>
  <c r="P79" i="3" l="1"/>
  <c r="P81" i="3" s="1"/>
  <c r="J97" i="3" s="1"/>
  <c r="P86" i="3"/>
  <c r="G62" i="3"/>
  <c r="G63" i="3" s="1"/>
  <c r="G64" i="3" s="1"/>
  <c r="G49" i="3"/>
  <c r="G50" i="3" s="1"/>
  <c r="G51" i="3" s="1"/>
  <c r="H44" i="3"/>
  <c r="G52" i="3" l="1"/>
  <c r="G76" i="3" l="1"/>
  <c r="G78" i="3" l="1"/>
  <c r="G86" i="3" l="1"/>
  <c r="D92" i="3" s="1"/>
  <c r="D89" i="3" s="1"/>
  <c r="G79" i="3"/>
  <c r="G81" i="3" s="1"/>
  <c r="D87" i="3" s="1"/>
  <c r="G97" i="3"/>
  <c r="E99" i="3" s="1"/>
  <c r="D88" i="3" l="1"/>
</calcChain>
</file>

<file path=xl/comments1.xml><?xml version="1.0" encoding="utf-8"?>
<comments xmlns="http://schemas.openxmlformats.org/spreadsheetml/2006/main">
  <authors>
    <author>Adam Balogh</author>
  </authors>
  <commentList>
    <comment ref="G15" authorId="0">
      <text>
        <r>
          <rPr>
            <b/>
            <sz val="9"/>
            <color indexed="81"/>
            <rFont val="Tahoma"/>
            <family val="2"/>
          </rPr>
          <t>Adam Balogh:</t>
        </r>
        <r>
          <rPr>
            <sz val="9"/>
            <color indexed="81"/>
            <rFont val="Tahoma"/>
            <family val="2"/>
          </rPr>
          <t xml:space="preserve">
Only for Originator Country</t>
        </r>
      </text>
    </comment>
    <comment ref="I15" authorId="0">
      <text>
        <r>
          <rPr>
            <b/>
            <sz val="9"/>
            <color indexed="81"/>
            <rFont val="Tahoma"/>
            <family val="2"/>
          </rPr>
          <t>Adam Balogh:</t>
        </r>
        <r>
          <rPr>
            <sz val="9"/>
            <color indexed="81"/>
            <rFont val="Tahoma"/>
            <family val="2"/>
          </rPr>
          <t xml:space="preserve">
Applies for originator country</t>
        </r>
      </text>
    </comment>
    <comment ref="J15" authorId="0">
      <text>
        <r>
          <rPr>
            <b/>
            <sz val="9"/>
            <color indexed="81"/>
            <rFont val="Tahoma"/>
            <family val="2"/>
          </rPr>
          <t>Adam Balogh:</t>
        </r>
        <r>
          <rPr>
            <sz val="9"/>
            <color indexed="81"/>
            <rFont val="Tahoma"/>
            <family val="2"/>
          </rPr>
          <t xml:space="preserve">
For Originator country</t>
        </r>
      </text>
    </comment>
    <comment ref="K15" authorId="0">
      <text>
        <r>
          <rPr>
            <b/>
            <sz val="9"/>
            <color indexed="81"/>
            <rFont val="Tahoma"/>
            <family val="2"/>
          </rPr>
          <t>Adam Balogh:</t>
        </r>
        <r>
          <rPr>
            <sz val="9"/>
            <color indexed="81"/>
            <rFont val="Tahoma"/>
            <family val="2"/>
          </rPr>
          <t xml:space="preserve">
Applies for country in NEED
To be smaller then originator country?</t>
        </r>
      </text>
    </comment>
    <comment ref="L15" authorId="0">
      <text>
        <r>
          <rPr>
            <b/>
            <sz val="9"/>
            <color indexed="81"/>
            <rFont val="Tahoma"/>
            <family val="2"/>
          </rPr>
          <t>Adam Balogh:</t>
        </r>
        <r>
          <rPr>
            <sz val="9"/>
            <color indexed="81"/>
            <rFont val="Tahoma"/>
            <family val="2"/>
          </rPr>
          <t xml:space="preserve">
For country in NEED</t>
        </r>
      </text>
    </comment>
    <comment ref="O15" authorId="0">
      <text>
        <r>
          <rPr>
            <b/>
            <sz val="9"/>
            <color indexed="81"/>
            <rFont val="Tahoma"/>
            <family val="2"/>
          </rPr>
          <t>Adam Balogh:</t>
        </r>
        <r>
          <rPr>
            <sz val="9"/>
            <color indexed="81"/>
            <rFont val="Tahoma"/>
            <family val="2"/>
          </rPr>
          <t xml:space="preserve">
Applies for country in Need</t>
        </r>
      </text>
    </comment>
    <comment ref="R15" authorId="0">
      <text>
        <r>
          <rPr>
            <b/>
            <sz val="9"/>
            <color indexed="81"/>
            <rFont val="Tahoma"/>
            <family val="2"/>
          </rPr>
          <t>Adam Balogh:</t>
        </r>
        <r>
          <rPr>
            <sz val="9"/>
            <color indexed="81"/>
            <rFont val="Tahoma"/>
            <family val="2"/>
          </rPr>
          <t xml:space="preserve">
Applies for all</t>
        </r>
      </text>
    </comment>
    <comment ref="D16" authorId="0">
      <text>
        <r>
          <rPr>
            <b/>
            <sz val="9"/>
            <color indexed="81"/>
            <rFont val="Tahoma"/>
            <family val="2"/>
          </rPr>
          <t>Adam Balogh:</t>
        </r>
        <r>
          <rPr>
            <sz val="9"/>
            <color indexed="81"/>
            <rFont val="Tahoma"/>
            <family val="2"/>
          </rPr>
          <t xml:space="preserve">
Applies for all countries</t>
        </r>
      </text>
    </comment>
    <comment ref="E16" authorId="0">
      <text>
        <r>
          <rPr>
            <b/>
            <sz val="9"/>
            <color indexed="81"/>
            <rFont val="Tahoma"/>
            <family val="2"/>
          </rPr>
          <t>Adam Balogh:</t>
        </r>
        <r>
          <rPr>
            <sz val="9"/>
            <color indexed="81"/>
            <rFont val="Tahoma"/>
            <family val="2"/>
          </rPr>
          <t xml:space="preserve">
Applies for originator country only</t>
        </r>
      </text>
    </comment>
    <comment ref="F16" authorId="0">
      <text>
        <r>
          <rPr>
            <b/>
            <sz val="9"/>
            <color indexed="81"/>
            <rFont val="Tahoma"/>
            <family val="2"/>
          </rPr>
          <t>Adam Balogh:</t>
        </r>
        <r>
          <rPr>
            <sz val="9"/>
            <color indexed="81"/>
            <rFont val="Tahoma"/>
            <family val="2"/>
          </rPr>
          <t xml:space="preserve">
For originator country its the difference between w/o and w;
For other countries its the difference btw. its own value and the originator countrie's value to identify the NEED</t>
        </r>
      </text>
    </comment>
    <comment ref="T16" authorId="0">
      <text>
        <r>
          <rPr>
            <b/>
            <sz val="9"/>
            <color indexed="81"/>
            <rFont val="Tahoma"/>
            <family val="2"/>
          </rPr>
          <t>Adam Balogh:</t>
        </r>
        <r>
          <rPr>
            <sz val="9"/>
            <color indexed="81"/>
            <rFont val="Tahoma"/>
            <family val="2"/>
          </rPr>
          <t xml:space="preserve">
This delta be should be calculated for all allocations types, in case the other allocation types are calculated</t>
        </r>
      </text>
    </comment>
    <comment ref="E17" authorId="0">
      <text>
        <r>
          <rPr>
            <b/>
            <sz val="9"/>
            <color indexed="81"/>
            <rFont val="Tahoma"/>
            <family val="2"/>
          </rPr>
          <t>Adam Balogh:</t>
        </r>
        <r>
          <rPr>
            <sz val="9"/>
            <color indexed="81"/>
            <rFont val="Tahoma"/>
            <family val="2"/>
          </rPr>
          <t xml:space="preserve">
Not a Reverse Flow project, as there is no counter- flow</t>
        </r>
      </text>
    </comment>
    <comment ref="E27" authorId="0">
      <text>
        <r>
          <rPr>
            <b/>
            <sz val="9"/>
            <color indexed="81"/>
            <rFont val="Tahoma"/>
            <family val="2"/>
          </rPr>
          <t>Adam Balogh:</t>
        </r>
        <r>
          <rPr>
            <sz val="9"/>
            <color indexed="81"/>
            <rFont val="Tahoma"/>
            <family val="2"/>
          </rPr>
          <t xml:space="preserve">
Becomes a reverse flow on Border level, once the new EX FID project is made</t>
        </r>
      </text>
    </comment>
    <comment ref="B29" authorId="0">
      <text>
        <r>
          <rPr>
            <b/>
            <sz val="9"/>
            <color indexed="81"/>
            <rFont val="Tahoma"/>
            <family val="2"/>
          </rPr>
          <t>Adam Balogh:</t>
        </r>
        <r>
          <rPr>
            <sz val="9"/>
            <color indexed="81"/>
            <rFont val="Tahoma"/>
            <family val="2"/>
          </rPr>
          <t xml:space="preserve">
On the area of analysis</t>
        </r>
      </text>
    </comment>
    <comment ref="F41" authorId="0">
      <text>
        <r>
          <rPr>
            <b/>
            <sz val="9"/>
            <color indexed="81"/>
            <rFont val="Tahoma"/>
            <family val="2"/>
          </rPr>
          <t>Adam Balogh:</t>
        </r>
        <r>
          <rPr>
            <sz val="9"/>
            <color indexed="81"/>
            <rFont val="Tahoma"/>
            <family val="2"/>
          </rPr>
          <t xml:space="preserve">
France does not have enough EX capacity to export the IMP improvement due to the project</t>
        </r>
      </text>
    </comment>
    <comment ref="K41" authorId="0">
      <text>
        <r>
          <rPr>
            <b/>
            <sz val="9"/>
            <color indexed="81"/>
            <rFont val="Tahoma"/>
            <family val="2"/>
          </rPr>
          <t>Adam Balogh:</t>
        </r>
        <r>
          <rPr>
            <sz val="9"/>
            <color indexed="81"/>
            <rFont val="Tahoma"/>
            <family val="2"/>
          </rPr>
          <t xml:space="preserve">
Technical fields for Goal Seek of the Surplus Volume</t>
        </r>
      </text>
    </comment>
    <comment ref="F47" authorId="0">
      <text>
        <r>
          <rPr>
            <b/>
            <sz val="9"/>
            <color indexed="81"/>
            <rFont val="Tahoma"/>
            <family val="2"/>
          </rPr>
          <t>Adam Balogh:</t>
        </r>
        <r>
          <rPr>
            <sz val="9"/>
            <color indexed="81"/>
            <rFont val="Tahoma"/>
            <family val="2"/>
          </rPr>
          <t xml:space="preserve">
France does not have enough EX capacity to export the IMP improvement due to the project</t>
        </r>
      </text>
    </comment>
    <comment ref="H55" authorId="0">
      <text>
        <r>
          <rPr>
            <b/>
            <sz val="9"/>
            <color indexed="81"/>
            <rFont val="Tahoma"/>
            <family val="2"/>
          </rPr>
          <t>Adam Balogh:</t>
        </r>
        <r>
          <rPr>
            <sz val="9"/>
            <color indexed="81"/>
            <rFont val="Tahoma"/>
            <family val="2"/>
          </rPr>
          <t xml:space="preserve">
Goal Seeked</t>
        </r>
      </text>
    </comment>
    <comment ref="J59" authorId="0">
      <text>
        <r>
          <rPr>
            <b/>
            <sz val="9"/>
            <color indexed="81"/>
            <rFont val="Tahoma"/>
            <family val="2"/>
          </rPr>
          <t>Adam Balogh:</t>
        </r>
        <r>
          <rPr>
            <sz val="9"/>
            <color indexed="81"/>
            <rFont val="Tahoma"/>
            <family val="2"/>
          </rPr>
          <t xml:space="preserve">
Annual Volumes; based on aggregating by Season</t>
        </r>
      </text>
    </comment>
    <comment ref="A66" authorId="0">
      <text>
        <r>
          <rPr>
            <b/>
            <sz val="9"/>
            <color indexed="81"/>
            <rFont val="Tahoma"/>
            <family val="2"/>
          </rPr>
          <t>Adam Balogh:</t>
        </r>
        <r>
          <rPr>
            <sz val="9"/>
            <color indexed="81"/>
            <rFont val="Tahoma"/>
            <family val="2"/>
          </rPr>
          <t xml:space="preserve">
The New Supply for Country A - NOT CHECKED</t>
        </r>
      </text>
    </comment>
    <comment ref="A109" authorId="0">
      <text>
        <r>
          <rPr>
            <b/>
            <sz val="9"/>
            <color indexed="81"/>
            <rFont val="Tahoma"/>
            <family val="2"/>
          </rPr>
          <t>Adam Balogh:</t>
        </r>
        <r>
          <rPr>
            <sz val="9"/>
            <color indexed="81"/>
            <rFont val="Tahoma"/>
            <family val="2"/>
          </rPr>
          <t xml:space="preserve">
No direct connection from Country A - NOT CHECKED</t>
        </r>
      </text>
    </comment>
    <comment ref="A152" authorId="0">
      <text>
        <r>
          <rPr>
            <b/>
            <sz val="9"/>
            <color indexed="81"/>
            <rFont val="Tahoma"/>
            <family val="2"/>
          </rPr>
          <t>Adam Balogh:</t>
        </r>
        <r>
          <rPr>
            <sz val="9"/>
            <color indexed="81"/>
            <rFont val="Tahoma"/>
            <family val="2"/>
          </rPr>
          <t xml:space="preserve">
Only Entry; no EX to this country - NOT CHECKED; BUT COULD BE CHECKED considering Reverse Flow</t>
        </r>
      </text>
    </comment>
    <comment ref="A195" authorId="0">
      <text>
        <r>
          <rPr>
            <b/>
            <sz val="9"/>
            <color indexed="81"/>
            <rFont val="Tahoma"/>
            <family val="2"/>
          </rPr>
          <t>Adam Balogh:</t>
        </r>
        <r>
          <rPr>
            <sz val="9"/>
            <color indexed="81"/>
            <rFont val="Tahoma"/>
            <family val="2"/>
          </rPr>
          <t xml:space="preserve">
Effected Country by identifying NEED under certain conditions.
Capacity between Zone1 and Zone 2 of country A and to Country G are not checked</t>
        </r>
      </text>
    </comment>
    <comment ref="K219" authorId="0">
      <text>
        <r>
          <rPr>
            <b/>
            <sz val="9"/>
            <color indexed="81"/>
            <rFont val="Tahoma"/>
            <family val="2"/>
          </rPr>
          <t>Adam Balogh:</t>
        </r>
        <r>
          <rPr>
            <sz val="9"/>
            <color indexed="81"/>
            <rFont val="Tahoma"/>
            <family val="2"/>
          </rPr>
          <t xml:space="preserve">
If NEED, then smaller value then the originator country</t>
        </r>
      </text>
    </comment>
    <comment ref="M219" authorId="0">
      <text>
        <r>
          <rPr>
            <b/>
            <sz val="9"/>
            <color indexed="81"/>
            <rFont val="Tahoma"/>
            <family val="2"/>
          </rPr>
          <t>Adam Balogh:</t>
        </r>
        <r>
          <rPr>
            <sz val="9"/>
            <color indexed="81"/>
            <rFont val="Tahoma"/>
            <family val="2"/>
          </rPr>
          <t xml:space="preserve">
All the volume goes now to Country G meaning that FNFA=IMA=PRA</t>
        </r>
      </text>
    </comment>
    <comment ref="S219" authorId="0">
      <text>
        <r>
          <rPr>
            <b/>
            <sz val="9"/>
            <color indexed="81"/>
            <rFont val="Tahoma"/>
            <family val="2"/>
          </rPr>
          <t>Adam Balogh:</t>
        </r>
        <r>
          <rPr>
            <sz val="9"/>
            <color indexed="81"/>
            <rFont val="Tahoma"/>
            <family val="2"/>
          </rPr>
          <t xml:space="preserve">
All the volume goes now to Country G meaning that FNFA=IMA=PRA</t>
        </r>
      </text>
    </comment>
    <comment ref="B237" authorId="0">
      <text>
        <r>
          <rPr>
            <b/>
            <sz val="9"/>
            <color indexed="81"/>
            <rFont val="Tahoma"/>
            <family val="2"/>
          </rPr>
          <t>Adam Balogh:</t>
        </r>
        <r>
          <rPr>
            <sz val="9"/>
            <color indexed="81"/>
            <rFont val="Tahoma"/>
            <family val="2"/>
          </rPr>
          <t xml:space="preserve">
Shall be made for all the impected countries; now I added these cells only to Country G, as only country G is impacted</t>
        </r>
      </text>
    </comment>
    <comment ref="P237" authorId="0">
      <text>
        <r>
          <rPr>
            <b/>
            <sz val="9"/>
            <color indexed="81"/>
            <rFont val="Tahoma"/>
            <family val="2"/>
          </rPr>
          <t>Adam Balogh:</t>
        </r>
        <r>
          <rPr>
            <sz val="9"/>
            <color indexed="81"/>
            <rFont val="Tahoma"/>
            <family val="2"/>
          </rPr>
          <t xml:space="preserve">
PRA=FNFA=IMA, as only one country is effected - allocation possible only in 2 years, when Merging NEED and Allocation POSSIBLE</t>
        </r>
      </text>
    </comment>
  </commentList>
</comments>
</file>

<file path=xl/comments2.xml><?xml version="1.0" encoding="utf-8"?>
<comments xmlns="http://schemas.openxmlformats.org/spreadsheetml/2006/main">
  <authors>
    <author>Adam Balogh</author>
  </authors>
  <commentList>
    <comment ref="G37" authorId="0">
      <text>
        <r>
          <rPr>
            <b/>
            <sz val="9"/>
            <color indexed="81"/>
            <rFont val="Tahoma"/>
            <family val="2"/>
          </rPr>
          <t>Adam Balogh:</t>
        </r>
        <r>
          <rPr>
            <sz val="9"/>
            <color indexed="81"/>
            <rFont val="Tahoma"/>
            <family val="2"/>
          </rPr>
          <t xml:space="preserve">
Compares the to be substituted amount to the remainning gas amount. If the to be substituted amount is higher then the remainning amount, it writes out the remainning amount, othervise the to be substituted amount.</t>
        </r>
      </text>
    </comment>
    <comment ref="L37" authorId="0">
      <text>
        <r>
          <rPr>
            <b/>
            <sz val="9"/>
            <color indexed="81"/>
            <rFont val="Tahoma"/>
            <family val="2"/>
          </rPr>
          <t>Adam Balogh:</t>
        </r>
        <r>
          <rPr>
            <sz val="9"/>
            <color indexed="81"/>
            <rFont val="Tahoma"/>
            <family val="2"/>
          </rPr>
          <t xml:space="preserve">
Compares the to be substituted amount to the remainning gas amount. If the to be substituted amount is higher then the remainning amount, it writes out the remainning amount, othervise the to be substituted amount.</t>
        </r>
      </text>
    </comment>
    <comment ref="N37" authorId="0">
      <text>
        <r>
          <rPr>
            <b/>
            <sz val="9"/>
            <color indexed="81"/>
            <rFont val="Tahoma"/>
            <family val="2"/>
          </rPr>
          <t>Adam Balogh:</t>
        </r>
        <r>
          <rPr>
            <sz val="9"/>
            <color indexed="81"/>
            <rFont val="Tahoma"/>
            <family val="2"/>
          </rPr>
          <t xml:space="preserve">
Compares the to be substituted amount to the remainning gas amount. If the to be substituted amount is higher then the remainning amount, it writes out the remainning amount, othervise the to be substituted amount.</t>
        </r>
      </text>
    </comment>
    <comment ref="P37" authorId="0">
      <text>
        <r>
          <rPr>
            <b/>
            <sz val="9"/>
            <color indexed="81"/>
            <rFont val="Tahoma"/>
            <family val="2"/>
          </rPr>
          <t>Adam Balogh:</t>
        </r>
        <r>
          <rPr>
            <sz val="9"/>
            <color indexed="81"/>
            <rFont val="Tahoma"/>
            <family val="2"/>
          </rPr>
          <t xml:space="preserve">
Compares the to be substituted amount to the remainning gas amount. If the to be substituted amount is higher then the remainning amount, it writes out the remainning amount, othervise the to be substituted amount.</t>
        </r>
      </text>
    </comment>
    <comment ref="G41" authorId="0">
      <text>
        <r>
          <rPr>
            <b/>
            <sz val="9"/>
            <color indexed="81"/>
            <rFont val="Tahoma"/>
            <family val="2"/>
          </rPr>
          <t>Adam Balogh:</t>
        </r>
        <r>
          <rPr>
            <sz val="9"/>
            <color indexed="81"/>
            <rFont val="Tahoma"/>
            <family val="2"/>
          </rPr>
          <t xml:space="preserve">
A check done, in order to avoide #/DIV0! And to ensure the functionning of E44 check.</t>
        </r>
      </text>
    </comment>
    <comment ref="G64" authorId="0">
      <text>
        <r>
          <rPr>
            <b/>
            <sz val="9"/>
            <color indexed="81"/>
            <rFont val="Tahoma"/>
            <family val="2"/>
          </rPr>
          <t>Adam Balogh:</t>
        </r>
        <r>
          <rPr>
            <sz val="9"/>
            <color indexed="81"/>
            <rFont val="Tahoma"/>
            <family val="2"/>
          </rPr>
          <t xml:space="preserve">
Here, it is positive, as also oil can be substituted, which is more expnesive then gas or coal</t>
        </r>
      </text>
    </comment>
    <comment ref="L64" authorId="0">
      <text>
        <r>
          <rPr>
            <b/>
            <sz val="9"/>
            <color indexed="81"/>
            <rFont val="Tahoma"/>
            <family val="2"/>
          </rPr>
          <t>Adam Balogh:</t>
        </r>
        <r>
          <rPr>
            <sz val="9"/>
            <color indexed="81"/>
            <rFont val="Tahoma"/>
            <family val="2"/>
          </rPr>
          <t xml:space="preserve">
It becomes negative, as only coal can be substituted, which is much cheaper then gas</t>
        </r>
      </text>
    </comment>
  </commentList>
</comments>
</file>

<file path=xl/comments3.xml><?xml version="1.0" encoding="utf-8"?>
<comments xmlns="http://schemas.openxmlformats.org/spreadsheetml/2006/main">
  <authors>
    <author>Adam Balogh</author>
  </authors>
  <commentList>
    <comment ref="G10" authorId="0">
      <text>
        <r>
          <rPr>
            <b/>
            <sz val="9"/>
            <color indexed="81"/>
            <rFont val="Tahoma"/>
            <family val="2"/>
          </rPr>
          <t>Adam Balogh:</t>
        </r>
        <r>
          <rPr>
            <sz val="9"/>
            <color indexed="81"/>
            <rFont val="Tahoma"/>
            <family val="2"/>
          </rPr>
          <t xml:space="preserve">
Only for Originator Country</t>
        </r>
      </text>
    </comment>
    <comment ref="I10" authorId="0">
      <text>
        <r>
          <rPr>
            <b/>
            <sz val="9"/>
            <color indexed="81"/>
            <rFont val="Tahoma"/>
            <family val="2"/>
          </rPr>
          <t>Adam Balogh:</t>
        </r>
        <r>
          <rPr>
            <sz val="9"/>
            <color indexed="81"/>
            <rFont val="Tahoma"/>
            <family val="2"/>
          </rPr>
          <t xml:space="preserve">
Applies for originator country</t>
        </r>
      </text>
    </comment>
    <comment ref="N10" authorId="0">
      <text>
        <r>
          <rPr>
            <b/>
            <sz val="9"/>
            <color indexed="81"/>
            <rFont val="Tahoma"/>
            <family val="2"/>
          </rPr>
          <t>Adam Balogh:</t>
        </r>
        <r>
          <rPr>
            <sz val="9"/>
            <color indexed="81"/>
            <rFont val="Tahoma"/>
            <family val="2"/>
          </rPr>
          <t xml:space="preserve">
Applies for country in NEED
To be smaller then originator country?</t>
        </r>
      </text>
    </comment>
    <comment ref="D11" authorId="0">
      <text>
        <r>
          <rPr>
            <b/>
            <sz val="9"/>
            <color indexed="81"/>
            <rFont val="Tahoma"/>
            <family val="2"/>
          </rPr>
          <t>Adam Balogh:</t>
        </r>
        <r>
          <rPr>
            <sz val="9"/>
            <color indexed="81"/>
            <rFont val="Tahoma"/>
            <family val="2"/>
          </rPr>
          <t xml:space="preserve">
Applies for all countries</t>
        </r>
      </text>
    </comment>
    <comment ref="E11" authorId="0">
      <text>
        <r>
          <rPr>
            <b/>
            <sz val="9"/>
            <color indexed="81"/>
            <rFont val="Tahoma"/>
            <family val="2"/>
          </rPr>
          <t>Adam Balogh:</t>
        </r>
        <r>
          <rPr>
            <sz val="9"/>
            <color indexed="81"/>
            <rFont val="Tahoma"/>
            <family val="2"/>
          </rPr>
          <t xml:space="preserve">
Applies for originator country only</t>
        </r>
      </text>
    </comment>
    <comment ref="F11" authorId="0">
      <text>
        <r>
          <rPr>
            <b/>
            <sz val="9"/>
            <color indexed="81"/>
            <rFont val="Tahoma"/>
            <family val="2"/>
          </rPr>
          <t>Adam Balogh:</t>
        </r>
        <r>
          <rPr>
            <sz val="9"/>
            <color indexed="81"/>
            <rFont val="Tahoma"/>
            <family val="2"/>
          </rPr>
          <t xml:space="preserve">
For originator country its the difference between w/o and w;
For other countries its the difference btw. its own value and the originator countrie's value to identify the NEED</t>
        </r>
      </text>
    </comment>
    <comment ref="K11" authorId="0">
      <text>
        <r>
          <rPr>
            <b/>
            <sz val="9"/>
            <color indexed="81"/>
            <rFont val="Tahoma"/>
            <family val="2"/>
          </rPr>
          <t>Adam Balogh:</t>
        </r>
        <r>
          <rPr>
            <sz val="9"/>
            <color indexed="81"/>
            <rFont val="Tahoma"/>
            <family val="2"/>
          </rPr>
          <t xml:space="preserve">
Applies for all countries</t>
        </r>
      </text>
    </comment>
    <comment ref="L11" authorId="0">
      <text>
        <r>
          <rPr>
            <b/>
            <sz val="9"/>
            <color indexed="81"/>
            <rFont val="Tahoma"/>
            <family val="2"/>
          </rPr>
          <t>Adam Balogh:</t>
        </r>
        <r>
          <rPr>
            <sz val="9"/>
            <color indexed="81"/>
            <rFont val="Tahoma"/>
            <family val="2"/>
          </rPr>
          <t xml:space="preserve">
Applies for originator country only</t>
        </r>
      </text>
    </comment>
    <comment ref="M11" authorId="0">
      <text>
        <r>
          <rPr>
            <b/>
            <sz val="9"/>
            <color indexed="81"/>
            <rFont val="Tahoma"/>
            <family val="2"/>
          </rPr>
          <t>Adam Balogh:</t>
        </r>
        <r>
          <rPr>
            <sz val="9"/>
            <color indexed="81"/>
            <rFont val="Tahoma"/>
            <family val="2"/>
          </rPr>
          <t xml:space="preserve">
For originator country its the difference between w/o and w;
For other countries its the difference btw. its own value and the originator countrie's value to identify the NEED</t>
        </r>
      </text>
    </comment>
    <comment ref="F12" authorId="0">
      <text>
        <r>
          <rPr>
            <b/>
            <sz val="9"/>
            <color indexed="81"/>
            <rFont val="Tahoma"/>
            <family val="2"/>
          </rPr>
          <t>Adam Balogh:</t>
        </r>
        <r>
          <rPr>
            <sz val="9"/>
            <color indexed="81"/>
            <rFont val="Tahoma"/>
            <family val="2"/>
          </rPr>
          <t xml:space="preserve">
France does not have enough EX capacity to export the IMP improvement due to the project</t>
        </r>
      </text>
    </comment>
    <comment ref="N12" authorId="0">
      <text>
        <r>
          <rPr>
            <b/>
            <sz val="9"/>
            <color indexed="81"/>
            <rFont val="Tahoma"/>
            <family val="2"/>
          </rPr>
          <t>Adam Balogh:</t>
        </r>
        <r>
          <rPr>
            <sz val="9"/>
            <color indexed="81"/>
            <rFont val="Tahoma"/>
            <family val="2"/>
          </rPr>
          <t xml:space="preserve">
If NEED, then smaller value then the originator country</t>
        </r>
      </text>
    </comment>
    <comment ref="F18" authorId="0">
      <text>
        <r>
          <rPr>
            <b/>
            <sz val="9"/>
            <color indexed="81"/>
            <rFont val="Tahoma"/>
            <family val="2"/>
          </rPr>
          <t>Adam Balogh:</t>
        </r>
        <r>
          <rPr>
            <sz val="9"/>
            <color indexed="81"/>
            <rFont val="Tahoma"/>
            <family val="2"/>
          </rPr>
          <t xml:space="preserve">
France does not have enough EX capacity to export the IMP improvement due to the project</t>
        </r>
      </text>
    </comment>
    <comment ref="H26" authorId="0">
      <text>
        <r>
          <rPr>
            <b/>
            <sz val="9"/>
            <color indexed="81"/>
            <rFont val="Tahoma"/>
            <family val="2"/>
          </rPr>
          <t>Adam Balogh:</t>
        </r>
        <r>
          <rPr>
            <sz val="9"/>
            <color indexed="81"/>
            <rFont val="Tahoma"/>
            <family val="2"/>
          </rPr>
          <t xml:space="preserve">
Goal Seeked</t>
        </r>
      </text>
    </comment>
  </commentList>
</comments>
</file>

<file path=xl/sharedStrings.xml><?xml version="1.0" encoding="utf-8"?>
<sst xmlns="http://schemas.openxmlformats.org/spreadsheetml/2006/main" count="873" uniqueCount="239">
  <si>
    <t>UGS</t>
  </si>
  <si>
    <t>LNG</t>
  </si>
  <si>
    <t>Dwa</t>
  </si>
  <si>
    <t>Dsa</t>
  </si>
  <si>
    <t>Border B</t>
  </si>
  <si>
    <t>EN</t>
  </si>
  <si>
    <t>EX</t>
  </si>
  <si>
    <t>IP1</t>
  </si>
  <si>
    <t>IP2</t>
  </si>
  <si>
    <t>IP3</t>
  </si>
  <si>
    <t>IP5</t>
  </si>
  <si>
    <t>IP4</t>
  </si>
  <si>
    <t>Border C</t>
  </si>
  <si>
    <t>Border D</t>
  </si>
  <si>
    <t>Border E</t>
  </si>
  <si>
    <t>Border F</t>
  </si>
  <si>
    <t>IP7</t>
  </si>
  <si>
    <t>IP8</t>
  </si>
  <si>
    <t>N/A</t>
  </si>
  <si>
    <t>IP6</t>
  </si>
  <si>
    <t>IP9</t>
  </si>
  <si>
    <t>IP10</t>
  </si>
  <si>
    <t>IP11</t>
  </si>
  <si>
    <t>Border Zone 2-G</t>
  </si>
  <si>
    <t>LNG1</t>
  </si>
  <si>
    <t>LNG2</t>
  </si>
  <si>
    <t>Country B</t>
  </si>
  <si>
    <t>IP12</t>
  </si>
  <si>
    <t>IP13</t>
  </si>
  <si>
    <t>Direct Supply 1</t>
  </si>
  <si>
    <t>Direct Supply 2</t>
  </si>
  <si>
    <t>Border H</t>
  </si>
  <si>
    <t>IP14</t>
  </si>
  <si>
    <t>IP15</t>
  </si>
  <si>
    <t>IP16</t>
  </si>
  <si>
    <t>IP17</t>
  </si>
  <si>
    <t>IP18</t>
  </si>
  <si>
    <t>IP19</t>
  </si>
  <si>
    <t>IP20</t>
  </si>
  <si>
    <t>Border I</t>
  </si>
  <si>
    <t>IP21</t>
  </si>
  <si>
    <t>Country A Zone 1</t>
  </si>
  <si>
    <t>Country C</t>
  </si>
  <si>
    <t>Border A Zone1</t>
  </si>
  <si>
    <t>Country D</t>
  </si>
  <si>
    <t>IP22</t>
  </si>
  <si>
    <t>IP23</t>
  </si>
  <si>
    <t>IP24</t>
  </si>
  <si>
    <t>IP25</t>
  </si>
  <si>
    <t>IP26</t>
  </si>
  <si>
    <t>Border Other</t>
  </si>
  <si>
    <t>IP27</t>
  </si>
  <si>
    <t>IP28</t>
  </si>
  <si>
    <t>IP29</t>
  </si>
  <si>
    <t>IP30</t>
  </si>
  <si>
    <t>IP31</t>
  </si>
  <si>
    <t>IP32</t>
  </si>
  <si>
    <t>IP33</t>
  </si>
  <si>
    <t>IP34</t>
  </si>
  <si>
    <t>IP35</t>
  </si>
  <si>
    <t>IP36</t>
  </si>
  <si>
    <t>IP37</t>
  </si>
  <si>
    <t>IP38</t>
  </si>
  <si>
    <t>Country G</t>
  </si>
  <si>
    <t>Border A Zone2</t>
  </si>
  <si>
    <t>Border Zone 1-2</t>
  </si>
  <si>
    <t>IP39</t>
  </si>
  <si>
    <t>IP40</t>
  </si>
  <si>
    <t>IP41</t>
  </si>
  <si>
    <t>IP42</t>
  </si>
  <si>
    <t>IP43</t>
  </si>
  <si>
    <t>Direct Supply 3</t>
  </si>
  <si>
    <t>Direct Supply LNG</t>
  </si>
  <si>
    <t>LNG3</t>
  </si>
  <si>
    <t>LNG4</t>
  </si>
  <si>
    <t>LNG5</t>
  </si>
  <si>
    <t>LNG6</t>
  </si>
  <si>
    <t>NP - Annual</t>
  </si>
  <si>
    <t>NP - Daily</t>
  </si>
  <si>
    <t>NP- Daily</t>
  </si>
  <si>
    <t>Dh - Design Case</t>
  </si>
  <si>
    <t xml:space="preserve">  Injection</t>
  </si>
  <si>
    <t xml:space="preserve">  Withdrawal</t>
  </si>
  <si>
    <t xml:space="preserve">  UGS/day</t>
  </si>
  <si>
    <t>Bi-directional project Indicator</t>
  </si>
  <si>
    <t>Import Route Diversification index</t>
  </si>
  <si>
    <t>N-1 Infrastructure Standard Indicator</t>
  </si>
  <si>
    <t>Seasonal Capacity Balance Indicators</t>
  </si>
  <si>
    <t>Indicator</t>
  </si>
  <si>
    <t>Value</t>
  </si>
  <si>
    <t>w/o</t>
  </si>
  <si>
    <t>w</t>
  </si>
  <si>
    <t>Δ</t>
  </si>
  <si>
    <t>Need</t>
  </si>
  <si>
    <t>PRA</t>
  </si>
  <si>
    <t>FNFA</t>
  </si>
  <si>
    <t>IMA</t>
  </si>
  <si>
    <t>B</t>
  </si>
  <si>
    <t>C</t>
  </si>
  <si>
    <t>D</t>
  </si>
  <si>
    <t>G</t>
  </si>
  <si>
    <t>DCB</t>
  </si>
  <si>
    <t>WACB</t>
  </si>
  <si>
    <t>SACB</t>
  </si>
  <si>
    <t>N-1</t>
  </si>
  <si>
    <t>Bi-directionality</t>
  </si>
  <si>
    <t>Import Route Diversification</t>
  </si>
  <si>
    <t>Yr.</t>
  </si>
  <si>
    <t>Zone</t>
  </si>
  <si>
    <t>A Zone 1 Originator country</t>
  </si>
  <si>
    <t>Bi-directionality Border</t>
  </si>
  <si>
    <t># of IPs</t>
  </si>
  <si>
    <t>SUM EN</t>
  </si>
  <si>
    <t>SUM EX</t>
  </si>
  <si>
    <t>SUM LNG</t>
  </si>
  <si>
    <t>SEM EN w/o</t>
  </si>
  <si>
    <t># of Ips w/o</t>
  </si>
  <si>
    <t># of Ips w</t>
  </si>
  <si>
    <t>SUM EN w</t>
  </si>
  <si>
    <t>Summer</t>
  </si>
  <si>
    <t>Winter</t>
  </si>
  <si>
    <t>Daw</t>
  </si>
  <si>
    <t>Das</t>
  </si>
  <si>
    <t>Calculating Zone Demands in Country A</t>
  </si>
  <si>
    <t>Value after distribution w Project</t>
  </si>
  <si>
    <t>LNG factor</t>
  </si>
  <si>
    <t>Not Possible</t>
  </si>
  <si>
    <t>Avail. Volume/day (GWh)</t>
  </si>
  <si>
    <t>Avail. Annual Vol. (GWh)</t>
  </si>
  <si>
    <t>Goal Seek</t>
  </si>
  <si>
    <t>SUM of CB</t>
  </si>
  <si>
    <t>Average Annual Distribution</t>
  </si>
  <si>
    <t>Alloc Possible</t>
  </si>
  <si>
    <t>Alloc. Test</t>
  </si>
  <si>
    <t>Distr. Volume per Day (GWh)</t>
  </si>
  <si>
    <t>Δ PRA</t>
  </si>
  <si>
    <t>A</t>
  </si>
  <si>
    <t>E</t>
  </si>
  <si>
    <t>F</t>
  </si>
  <si>
    <t>H</t>
  </si>
  <si>
    <t>I</t>
  </si>
  <si>
    <t>J</t>
  </si>
  <si>
    <t>K</t>
  </si>
  <si>
    <t>L</t>
  </si>
  <si>
    <t>M</t>
  </si>
  <si>
    <t>N</t>
  </si>
  <si>
    <t>O</t>
  </si>
  <si>
    <t>STEP 1</t>
  </si>
  <si>
    <t>Original electricity generation mix (% and GWh)</t>
  </si>
  <si>
    <t>Coal</t>
  </si>
  <si>
    <t xml:space="preserve">Oil </t>
  </si>
  <si>
    <t>Lignite</t>
  </si>
  <si>
    <t>STEP 2</t>
  </si>
  <si>
    <t>Net Thermal Efficiency of generation (including PP own consumption) (%)</t>
  </si>
  <si>
    <t>Natural Gas</t>
  </si>
  <si>
    <t>Physical Constant -  Specific CO2 emission of fuels/net energy released</t>
  </si>
  <si>
    <t>kg/TJ</t>
  </si>
  <si>
    <t>kg/GWh</t>
  </si>
  <si>
    <t>1TJ =</t>
  </si>
  <si>
    <t>GWh</t>
  </si>
  <si>
    <t>Gas</t>
  </si>
  <si>
    <t>Oil</t>
  </si>
  <si>
    <t>Original emission of the fuel mix (t)</t>
  </si>
  <si>
    <t>Cummulated original emission</t>
  </si>
  <si>
    <t>STEP 3</t>
  </si>
  <si>
    <t>Amount of natural gas required to generate same amount of electricity (GWh)</t>
  </si>
  <si>
    <t>Allocated natural gas for the country per year (GWh)</t>
  </si>
  <si>
    <t>Possibly Substituted - 66,6% of the production</t>
  </si>
  <si>
    <t>Lingnite</t>
  </si>
  <si>
    <t>STEP 4</t>
  </si>
  <si>
    <t>Cummulated new emission</t>
  </si>
  <si>
    <t>S 5</t>
  </si>
  <si>
    <t>Saved CO2 emission (t)</t>
  </si>
  <si>
    <t>Saved CO2 emission cost (EUR/yr)</t>
  </si>
  <si>
    <t>SDR</t>
  </si>
  <si>
    <t>Gross electricity generation in year Y (GWh)</t>
  </si>
  <si>
    <t>Original Fuel mix (GWh) to generate given electricity amount</t>
  </si>
  <si>
    <t>To be substitued -  in the order of pollution</t>
  </si>
  <si>
    <t>New fuel mix, including gas for substitution (GWh) to generate given electricity amount</t>
  </si>
  <si>
    <t>Emission of the new fuel mix (t) after substitution</t>
  </si>
  <si>
    <t>Orig. G elec. gen./fuel</t>
  </si>
  <si>
    <t>Natural Gas - EUR/GWh</t>
  </si>
  <si>
    <t>Oil - EUR/GWh</t>
  </si>
  <si>
    <t>Steam Coal - EUR/Gwh</t>
  </si>
  <si>
    <t>Prices</t>
  </si>
  <si>
    <t>Cost of Original Fuel mix (€)</t>
  </si>
  <si>
    <t>Cost of New Fuel mix (€)</t>
  </si>
  <si>
    <t>Saved fuel cost (EUR/yr)</t>
  </si>
  <si>
    <t>Step 6</t>
  </si>
  <si>
    <t>Cummulated Cost of New Fuel mix (€)</t>
  </si>
  <si>
    <t>Cummulated Cost of Original Fuel mix (€)</t>
  </si>
  <si>
    <t>CO2 - EUR/t</t>
  </si>
  <si>
    <t>STEP 7</t>
  </si>
  <si>
    <t>Cost of disruption for unit of energy (EUR/GWh)</t>
  </si>
  <si>
    <t>EUR c/kWh</t>
  </si>
  <si>
    <t>cm</t>
  </si>
  <si>
    <t>mcm</t>
  </si>
  <si>
    <t>mEUR</t>
  </si>
  <si>
    <t>mEUR/GWh</t>
  </si>
  <si>
    <t>GBP/MWh</t>
  </si>
  <si>
    <t>EUR/GBP</t>
  </si>
  <si>
    <t>EUR/MWh</t>
  </si>
  <si>
    <t>EUR/GWh</t>
  </si>
  <si>
    <t>Disruption Scenario</t>
  </si>
  <si>
    <t>14-days Full Supply 1 to A</t>
  </si>
  <si>
    <t>Unsupplied Gas (GWh/ 14days full disrupt)</t>
  </si>
  <si>
    <t>Substitutable from new source (GWh/ 14days full disrupt)</t>
  </si>
  <si>
    <t>EUR/kWh</t>
  </si>
  <si>
    <t>Risk of Occurance</t>
  </si>
  <si>
    <t>STEP 8 - Monetary Analysis</t>
  </si>
  <si>
    <t>CAPEX (mEUR)</t>
  </si>
  <si>
    <t>OPEX (mEUR)</t>
  </si>
  <si>
    <t>Monetary Analysis</t>
  </si>
  <si>
    <t>Saved Costs Country G</t>
  </si>
  <si>
    <t>Avoided cost if occurs EUR</t>
  </si>
  <si>
    <t>Avoided cost EUR/ year</t>
  </si>
  <si>
    <t>2012 - Year of Analysis</t>
  </si>
  <si>
    <t>ENPV</t>
  </si>
  <si>
    <t>ERR</t>
  </si>
  <si>
    <t>EB/C ratio</t>
  </si>
  <si>
    <t>Discounted Net Benefits</t>
  </si>
  <si>
    <r>
      <t xml:space="preserve">Saved Costs Country ... - </t>
    </r>
    <r>
      <rPr>
        <b/>
        <i/>
        <sz val="12"/>
        <color theme="3"/>
        <rFont val="Calibri"/>
        <family val="2"/>
        <scheme val="minor"/>
      </rPr>
      <t>no other country in this example</t>
    </r>
  </si>
  <si>
    <t>Total Saved Costs (EUR/yr)</t>
  </si>
  <si>
    <t>Net Benefits (EUR/yr)</t>
  </si>
  <si>
    <t>Total Costs (EUR/yr)</t>
  </si>
  <si>
    <t>Residual Value (EUR)</t>
  </si>
  <si>
    <t>Discounted Total of Costs</t>
  </si>
  <si>
    <t>Discounted Total Saved Costs</t>
  </si>
  <si>
    <t>NPV costs</t>
  </si>
  <si>
    <t>NPV benefits</t>
  </si>
  <si>
    <t>Indic.</t>
  </si>
  <si>
    <t>1.</t>
  </si>
  <si>
    <t>2.</t>
  </si>
  <si>
    <t>3.</t>
  </si>
  <si>
    <t>4.</t>
  </si>
  <si>
    <t>5.</t>
  </si>
  <si>
    <t>6.</t>
  </si>
  <si>
    <t>NEED</t>
  </si>
  <si>
    <t>36500 GWh/year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</si>
</sst>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 #,##0.00;[Red]&quot;€&quot;\ \-#,##0.00"/>
    <numFmt numFmtId="43" formatCode="_ * #,##0.00_ ;_ * \-#,##0.00_ ;_ * &quot;-&quot;??_ ;_ @_ "/>
    <numFmt numFmtId="164" formatCode="_ * #,##0.0_ ;_ * \-#,##0.0_ ;_ * &quot;-&quot;??_ ;_ @_ "/>
    <numFmt numFmtId="165" formatCode="_ * #,##0.0_ ;_ * \-#,##0.0_ ;_ * &quot;-&quot;?_ ;_ @_ "/>
    <numFmt numFmtId="166" formatCode="0.0000"/>
    <numFmt numFmtId="167" formatCode="0.0"/>
    <numFmt numFmtId="168" formatCode="_ * #,##0_ ;_ * \-#,##0_ ;_ * &quot;-&quot;??_ ;_ @_ "/>
    <numFmt numFmtId="169" formatCode="_(* #,##0_);_(* \(#,##0\);_(* &quot;-&quot;??_);_(@_)"/>
    <numFmt numFmtId="170" formatCode="0.000%"/>
    <numFmt numFmtId="171" formatCode="_ * #,##0.00_ ;_ * \-#,##0.00_ ;_ * &quot;-&quot;?_ ;_ @_ "/>
    <numFmt numFmtId="172" formatCode="0.0%"/>
    <numFmt numFmtId="173" formatCode="_ &quot;€&quot;\ * #,##0_ ;_ &quot;€&quot;\ * \-#,##0_ ;_ &quot;€&quot;\ * &quot;-&quot;??_ ;_ @_ "/>
  </numFmts>
  <fonts count="36">
    <font>
      <sz val="12"/>
      <color theme="1"/>
      <name val="Calibri (Body)"/>
      <family val="2"/>
    </font>
    <font>
      <sz val="12"/>
      <color theme="1"/>
      <name val="Calibri (Body)"/>
      <family val="2"/>
    </font>
    <font>
      <sz val="12"/>
      <color theme="1"/>
      <name val="Calibri (Body)"/>
    </font>
    <font>
      <b/>
      <sz val="12"/>
      <color theme="1"/>
      <name val="Calibri (Body)"/>
    </font>
    <font>
      <b/>
      <sz val="9"/>
      <color theme="1"/>
      <name val="Calibri"/>
      <family val="2"/>
      <scheme val="minor"/>
    </font>
    <font>
      <b/>
      <sz val="14"/>
      <color theme="0"/>
      <name val="Calibri (Body)"/>
    </font>
    <font>
      <b/>
      <sz val="12"/>
      <color theme="0"/>
      <name val="Calibri (Body)"/>
    </font>
    <font>
      <sz val="12"/>
      <color theme="0"/>
      <name val="Calibri (Body)"/>
    </font>
    <font>
      <sz val="12"/>
      <name val="Calibri (Body)"/>
      <family val="2"/>
    </font>
    <font>
      <sz val="9"/>
      <color indexed="81"/>
      <name val="Tahoma"/>
      <family val="2"/>
    </font>
    <font>
      <b/>
      <sz val="9"/>
      <color indexed="81"/>
      <name val="Tahoma"/>
      <family val="2"/>
    </font>
    <font>
      <i/>
      <sz val="10"/>
      <name val="Calibri (Body)"/>
    </font>
    <font>
      <b/>
      <sz val="10"/>
      <color theme="1"/>
      <name val="Calibri (Body)"/>
    </font>
    <font>
      <b/>
      <sz val="10"/>
      <name val="Calibri (Body)"/>
    </font>
    <font>
      <b/>
      <sz val="11"/>
      <color theme="0"/>
      <name val="Calibri (Body)"/>
    </font>
    <font>
      <i/>
      <sz val="11"/>
      <color theme="0"/>
      <name val="Calibri (Body)"/>
    </font>
    <font>
      <b/>
      <i/>
      <sz val="11"/>
      <color theme="0"/>
      <name val="Calibri (Body)"/>
    </font>
    <font>
      <sz val="11"/>
      <color indexed="8"/>
      <name val="Calibri"/>
      <family val="2"/>
      <scheme val="minor"/>
    </font>
    <font>
      <b/>
      <sz val="11"/>
      <name val="Calibri"/>
      <family val="2"/>
      <scheme val="minor"/>
    </font>
    <font>
      <sz val="12"/>
      <color theme="0" tint="-0.14999847407452621"/>
      <name val="Calibri (Body)"/>
      <family val="2"/>
    </font>
    <font>
      <b/>
      <sz val="10"/>
      <color theme="0"/>
      <name val="Calibri (Body)"/>
    </font>
    <font>
      <sz val="12"/>
      <color theme="0"/>
      <name val="Calibri (Body)"/>
      <family val="2"/>
    </font>
    <font>
      <b/>
      <sz val="9"/>
      <color theme="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2"/>
      <color theme="3"/>
      <name val="Calibri"/>
      <family val="2"/>
      <scheme val="minor"/>
    </font>
    <font>
      <b/>
      <sz val="12"/>
      <color theme="3"/>
      <name val="Calibri"/>
      <family val="2"/>
      <scheme val="minor"/>
    </font>
    <font>
      <i/>
      <sz val="10"/>
      <color theme="3"/>
      <name val="Calibri"/>
      <family val="2"/>
      <scheme val="minor"/>
    </font>
    <font>
      <i/>
      <sz val="12"/>
      <color theme="3"/>
      <name val="Calibri"/>
      <family val="2"/>
      <scheme val="minor"/>
    </font>
    <font>
      <sz val="12"/>
      <name val="Calibri"/>
      <family val="2"/>
      <scheme val="minor"/>
    </font>
    <font>
      <b/>
      <i/>
      <sz val="12"/>
      <color theme="3"/>
      <name val="Calibri"/>
      <family val="2"/>
      <scheme val="minor"/>
    </font>
    <font>
      <i/>
      <sz val="8"/>
      <name val="Calibri (Body)"/>
    </font>
    <font>
      <sz val="12"/>
      <color theme="0" tint="-0.249977111117893"/>
      <name val="Calibri (Body)"/>
      <family val="2"/>
    </font>
    <font>
      <sz val="12"/>
      <color theme="0" tint="-0.249977111117893"/>
      <name val="Calibri"/>
      <family val="2"/>
      <scheme val="minor"/>
    </font>
  </fonts>
  <fills count="22">
    <fill>
      <patternFill patternType="none"/>
    </fill>
    <fill>
      <patternFill patternType="gray125"/>
    </fill>
    <fill>
      <patternFill patternType="solid">
        <fgColor rgb="FFFFC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bgColor indexed="64"/>
      </patternFill>
    </fill>
    <fill>
      <patternFill patternType="solid">
        <fgColor rgb="FF92D05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thick">
        <color indexed="64"/>
      </top>
      <bottom style="double">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bottom/>
      <diagonal/>
    </border>
    <border>
      <left/>
      <right style="medium">
        <color theme="5"/>
      </right>
      <top style="medium">
        <color theme="5"/>
      </top>
      <bottom style="medium">
        <color theme="5"/>
      </bottom>
      <diagonal/>
    </border>
    <border>
      <left style="thin">
        <color indexed="64"/>
      </left>
      <right style="thin">
        <color indexed="64"/>
      </right>
      <top/>
      <bottom style="medium">
        <color indexed="64"/>
      </bottom>
      <diagonal/>
    </border>
    <border>
      <left style="medium">
        <color indexed="64"/>
      </left>
      <right style="thin">
        <color theme="5" tint="-0.249977111117893"/>
      </right>
      <top style="thin">
        <color indexed="64"/>
      </top>
      <bottom style="thin">
        <color indexed="64"/>
      </bottom>
      <diagonal/>
    </border>
    <border>
      <left style="thick">
        <color theme="5" tint="-0.249977111117893"/>
      </left>
      <right style="thick">
        <color theme="5" tint="-0.249977111117893"/>
      </right>
      <top style="thick">
        <color theme="5" tint="-0.249977111117893"/>
      </top>
      <bottom style="thick">
        <color theme="5" tint="-0.249977111117893"/>
      </bottom>
      <diagonal/>
    </border>
    <border>
      <left style="medium">
        <color indexed="64"/>
      </left>
      <right style="thin">
        <color indexed="64"/>
      </right>
      <top style="thin">
        <color indexed="64"/>
      </top>
      <bottom style="thick">
        <color theme="5" tint="-0.249977111117893"/>
      </bottom>
      <diagonal/>
    </border>
    <border>
      <left style="thick">
        <color theme="5" tint="-0.249977111117893"/>
      </left>
      <right style="thick">
        <color theme="5" tint="-0.249977111117893"/>
      </right>
      <top/>
      <bottom style="thick">
        <color theme="5" tint="-0.249977111117893"/>
      </bottom>
      <diagonal/>
    </border>
    <border>
      <left style="thick">
        <color theme="5" tint="-0.249977111117893"/>
      </left>
      <right style="thick">
        <color theme="5" tint="-0.249977111117893"/>
      </right>
      <top/>
      <bottom/>
      <diagonal/>
    </border>
    <border>
      <left style="thin">
        <color indexed="64"/>
      </left>
      <right style="medium">
        <color indexed="64"/>
      </right>
      <top style="thin">
        <color indexed="64"/>
      </top>
      <bottom style="thick">
        <color theme="5" tint="-0.249977111117893"/>
      </bottom>
      <diagonal/>
    </border>
    <border>
      <left style="medium">
        <color indexed="64"/>
      </left>
      <right/>
      <top style="medium">
        <color indexed="64"/>
      </top>
      <bottom style="thin">
        <color indexed="64"/>
      </bottom>
      <diagonal/>
    </border>
    <border>
      <left/>
      <right style="medium">
        <color theme="5"/>
      </right>
      <top style="medium">
        <color theme="5"/>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7">
    <xf numFmtId="0" fontId="0" fillId="0" borderId="0" xfId="0"/>
    <xf numFmtId="0" fontId="2" fillId="0" borderId="0" xfId="0" applyFont="1"/>
    <xf numFmtId="0" fontId="3" fillId="0" borderId="0" xfId="0" applyFont="1" applyFill="1"/>
    <xf numFmtId="2" fontId="3" fillId="0" borderId="0" xfId="0" applyNumberFormat="1" applyFont="1" applyFill="1"/>
    <xf numFmtId="0" fontId="4" fillId="3" borderId="1" xfId="0" applyFont="1" applyFill="1" applyBorder="1" applyAlignment="1">
      <alignment horizontal="center" vertical="center"/>
    </xf>
    <xf numFmtId="0" fontId="3" fillId="0" borderId="0" xfId="0" applyFont="1" applyFill="1" applyBorder="1"/>
    <xf numFmtId="0" fontId="3" fillId="0" borderId="0" xfId="0" applyFont="1"/>
    <xf numFmtId="0" fontId="2" fillId="0" borderId="0" xfId="0" applyFont="1" applyFill="1" applyBorder="1"/>
    <xf numFmtId="0" fontId="4" fillId="0" borderId="0" xfId="0" applyFont="1" applyFill="1" applyBorder="1" applyAlignment="1">
      <alignment horizontal="center" vertical="center"/>
    </xf>
    <xf numFmtId="0" fontId="4" fillId="4" borderId="1" xfId="0" applyFont="1" applyFill="1" applyBorder="1" applyAlignment="1">
      <alignment horizontal="center" vertical="center"/>
    </xf>
    <xf numFmtId="0" fontId="6" fillId="6" borderId="0" xfId="0" applyFont="1" applyFill="1"/>
    <xf numFmtId="0" fontId="3" fillId="2" borderId="0" xfId="0" applyFont="1" applyFill="1" applyBorder="1"/>
    <xf numFmtId="0" fontId="3" fillId="2" borderId="0" xfId="0" applyFont="1" applyFill="1"/>
    <xf numFmtId="164" fontId="2" fillId="0" borderId="0" xfId="1" applyNumberFormat="1" applyFont="1"/>
    <xf numFmtId="164" fontId="2" fillId="0" borderId="0" xfId="1" applyNumberFormat="1" applyFont="1" applyAlignment="1">
      <alignment horizontal="center" vertical="center"/>
    </xf>
    <xf numFmtId="164" fontId="7" fillId="6" borderId="0" xfId="1" applyNumberFormat="1" applyFont="1" applyFill="1" applyAlignment="1">
      <alignment horizontal="center" vertical="center"/>
    </xf>
    <xf numFmtId="164" fontId="2" fillId="2" borderId="0" xfId="1" applyNumberFormat="1" applyFont="1" applyFill="1" applyAlignment="1">
      <alignment horizontal="center" vertical="center"/>
    </xf>
    <xf numFmtId="164" fontId="2" fillId="2" borderId="0" xfId="1" applyNumberFormat="1" applyFont="1" applyFill="1" applyBorder="1" applyAlignment="1">
      <alignment horizontal="center" vertical="center"/>
    </xf>
    <xf numFmtId="164" fontId="2" fillId="0" borderId="0" xfId="1" applyNumberFormat="1" applyFont="1" applyAlignment="1">
      <alignment horizontal="center"/>
    </xf>
    <xf numFmtId="164" fontId="2" fillId="2" borderId="0" xfId="1" applyNumberFormat="1" applyFont="1" applyFill="1" applyAlignment="1">
      <alignment horizontal="center"/>
    </xf>
    <xf numFmtId="164" fontId="7" fillId="6" borderId="0" xfId="1" applyNumberFormat="1" applyFont="1" applyFill="1" applyAlignment="1">
      <alignment horizontal="center"/>
    </xf>
    <xf numFmtId="0" fontId="3" fillId="7" borderId="0" xfId="0" applyFont="1" applyFill="1"/>
    <xf numFmtId="0" fontId="3" fillId="7" borderId="0" xfId="0" applyFont="1" applyFill="1" applyBorder="1"/>
    <xf numFmtId="0" fontId="5" fillId="5" borderId="0" xfId="0" applyFont="1" applyFill="1" applyAlignment="1">
      <alignment horizontal="center"/>
    </xf>
    <xf numFmtId="167" fontId="2" fillId="0" borderId="0" xfId="0" applyNumberFormat="1" applyFont="1"/>
    <xf numFmtId="0" fontId="8" fillId="0" borderId="0" xfId="0" applyFont="1" applyFill="1"/>
    <xf numFmtId="0" fontId="6" fillId="9" borderId="0" xfId="0" applyFont="1" applyFill="1" applyAlignment="1">
      <alignment horizontal="center" vertical="center"/>
    </xf>
    <xf numFmtId="0" fontId="14" fillId="9" borderId="2"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2" xfId="0" applyFont="1" applyFill="1" applyBorder="1" applyAlignment="1">
      <alignment horizontal="lef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ill="1" applyBorder="1"/>
    <xf numFmtId="0" fontId="12"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16" fillId="9" borderId="34" xfId="0" applyFont="1" applyFill="1" applyBorder="1" applyAlignment="1">
      <alignment horizontal="center" vertical="center"/>
    </xf>
    <xf numFmtId="0" fontId="16" fillId="9" borderId="35" xfId="0" applyFont="1" applyFill="1" applyBorder="1" applyAlignment="1">
      <alignment horizontal="center" vertical="center"/>
    </xf>
    <xf numFmtId="0" fontId="16" fillId="9" borderId="36" xfId="0" applyFont="1" applyFill="1" applyBorder="1" applyAlignment="1">
      <alignment horizontal="center" vertical="center"/>
    </xf>
    <xf numFmtId="0" fontId="16" fillId="9" borderId="45" xfId="0" applyFont="1" applyFill="1" applyBorder="1" applyAlignment="1">
      <alignment horizontal="center" vertical="center"/>
    </xf>
    <xf numFmtId="0" fontId="16" fillId="9" borderId="46" xfId="0" applyFont="1" applyFill="1" applyBorder="1" applyAlignment="1">
      <alignment horizontal="center" vertical="center"/>
    </xf>
    <xf numFmtId="0" fontId="16" fillId="9" borderId="47" xfId="0" applyFont="1" applyFill="1" applyBorder="1" applyAlignment="1">
      <alignment horizontal="center" vertical="center"/>
    </xf>
    <xf numFmtId="0" fontId="16" fillId="9" borderId="37" xfId="0" applyFont="1" applyFill="1" applyBorder="1" applyAlignment="1">
      <alignment horizontal="center" vertical="center"/>
    </xf>
    <xf numFmtId="168" fontId="2" fillId="0" borderId="0" xfId="1" applyNumberFormat="1" applyFont="1" applyAlignment="1">
      <alignment horizontal="center" vertical="center"/>
    </xf>
    <xf numFmtId="0" fontId="11" fillId="5" borderId="6" xfId="0" applyFont="1" applyFill="1" applyBorder="1" applyAlignment="1">
      <alignment horizontal="center" vertical="center"/>
    </xf>
    <xf numFmtId="0" fontId="4" fillId="3" borderId="0" xfId="0" applyFont="1" applyFill="1" applyBorder="1" applyAlignment="1">
      <alignment horizontal="center" vertical="center"/>
    </xf>
    <xf numFmtId="164" fontId="2" fillId="0" borderId="0" xfId="1" applyNumberFormat="1" applyFont="1" applyFill="1" applyBorder="1" applyAlignment="1">
      <alignment horizontal="center"/>
    </xf>
    <xf numFmtId="164" fontId="2" fillId="0" borderId="0" xfId="0" applyNumberFormat="1" applyFont="1"/>
    <xf numFmtId="167" fontId="2" fillId="0" borderId="0" xfId="1" applyNumberFormat="1" applyFont="1" applyAlignment="1">
      <alignment horizontal="center" vertical="center"/>
    </xf>
    <xf numFmtId="167" fontId="2" fillId="2" borderId="0" xfId="1" applyNumberFormat="1" applyFont="1" applyFill="1" applyAlignment="1">
      <alignment horizontal="center" vertical="center"/>
    </xf>
    <xf numFmtId="167" fontId="2" fillId="0" borderId="0" xfId="0" applyNumberFormat="1" applyFont="1" applyAlignment="1">
      <alignment horizontal="center" vertical="center"/>
    </xf>
    <xf numFmtId="167" fontId="2" fillId="0" borderId="0" xfId="1" applyNumberFormat="1" applyFont="1" applyFill="1" applyBorder="1" applyAlignment="1">
      <alignment horizontal="center" vertical="center"/>
    </xf>
    <xf numFmtId="167" fontId="7" fillId="6" borderId="0" xfId="1" applyNumberFormat="1" applyFont="1" applyFill="1" applyAlignment="1">
      <alignment horizontal="center" vertical="center"/>
    </xf>
    <xf numFmtId="167" fontId="2" fillId="2" borderId="0" xfId="1" applyNumberFormat="1" applyFont="1" applyFill="1" applyBorder="1" applyAlignment="1">
      <alignment horizontal="center" vertical="center"/>
    </xf>
    <xf numFmtId="169" fontId="17" fillId="12" borderId="56" xfId="1" applyNumberFormat="1" applyFont="1" applyFill="1" applyBorder="1" applyAlignment="1">
      <alignment horizontal="left" vertical="top" wrapText="1"/>
    </xf>
    <xf numFmtId="169" fontId="17" fillId="12" borderId="57" xfId="1" applyNumberFormat="1" applyFont="1" applyFill="1" applyBorder="1" applyAlignment="1">
      <alignment horizontal="left" vertical="top" wrapText="1"/>
    </xf>
    <xf numFmtId="169" fontId="17" fillId="0" borderId="58" xfId="1" applyNumberFormat="1" applyFont="1" applyFill="1" applyBorder="1" applyAlignment="1">
      <alignment horizontal="left" vertical="top" wrapText="1"/>
    </xf>
    <xf numFmtId="169" fontId="17" fillId="0" borderId="59" xfId="1" applyNumberFormat="1" applyFont="1" applyFill="1" applyBorder="1" applyAlignment="1">
      <alignment horizontal="left" vertical="top" wrapText="1"/>
    </xf>
    <xf numFmtId="169" fontId="0" fillId="0" borderId="0" xfId="0" applyNumberFormat="1"/>
    <xf numFmtId="0" fontId="18" fillId="13" borderId="60" xfId="0" applyFont="1" applyFill="1" applyBorder="1" applyAlignment="1">
      <alignment horizontal="center" vertical="center" wrapText="1"/>
    </xf>
    <xf numFmtId="0" fontId="0" fillId="10" borderId="0" xfId="0" applyFill="1" applyBorder="1" applyAlignment="1">
      <alignment horizontal="center" vertical="center"/>
    </xf>
    <xf numFmtId="0" fontId="0" fillId="10" borderId="13" xfId="0" applyFill="1" applyBorder="1" applyAlignment="1">
      <alignment horizontal="center" vertical="center"/>
    </xf>
    <xf numFmtId="0" fontId="16" fillId="9" borderId="6" xfId="0" applyFont="1" applyFill="1" applyBorder="1" applyAlignment="1">
      <alignment horizontal="center" vertical="center"/>
    </xf>
    <xf numFmtId="166" fontId="0" fillId="0" borderId="62" xfId="0" applyNumberFormat="1" applyFill="1" applyBorder="1" applyAlignment="1">
      <alignment horizontal="center" vertical="center"/>
    </xf>
    <xf numFmtId="166" fontId="0" fillId="0" borderId="63" xfId="0" applyNumberFormat="1" applyFill="1" applyBorder="1" applyAlignment="1">
      <alignment horizontal="center" vertical="center"/>
    </xf>
    <xf numFmtId="166" fontId="0" fillId="0" borderId="48" xfId="0" applyNumberFormat="1" applyFill="1" applyBorder="1" applyAlignment="1">
      <alignment horizontal="center" vertical="center"/>
    </xf>
    <xf numFmtId="166" fontId="0" fillId="0" borderId="64" xfId="0" applyNumberFormat="1" applyFill="1" applyBorder="1" applyAlignment="1">
      <alignment horizontal="center" vertical="center"/>
    </xf>
    <xf numFmtId="166" fontId="0" fillId="0" borderId="65" xfId="0" applyNumberFormat="1" applyFill="1" applyBorder="1" applyAlignment="1">
      <alignment horizontal="center" vertical="center"/>
    </xf>
    <xf numFmtId="0" fontId="0" fillId="10" borderId="10" xfId="0" applyFill="1" applyBorder="1" applyAlignment="1">
      <alignment horizontal="center" vertical="center"/>
    </xf>
    <xf numFmtId="0" fontId="0" fillId="10" borderId="12" xfId="0" applyFill="1" applyBorder="1" applyAlignment="1">
      <alignment horizontal="center" vertical="center"/>
    </xf>
    <xf numFmtId="0" fontId="8" fillId="10" borderId="54" xfId="0" applyFont="1" applyFill="1" applyBorder="1" applyAlignment="1">
      <alignment horizontal="center" vertical="center"/>
    </xf>
    <xf numFmtId="0" fontId="8" fillId="0" borderId="53" xfId="0" applyFont="1" applyFill="1" applyBorder="1" applyAlignment="1">
      <alignment horizontal="center" vertical="center"/>
    </xf>
    <xf numFmtId="0" fontId="8" fillId="10" borderId="50" xfId="0" applyFont="1" applyFill="1" applyBorder="1" applyAlignment="1">
      <alignment horizontal="center" vertical="center"/>
    </xf>
    <xf numFmtId="0" fontId="8" fillId="10" borderId="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0" xfId="0" applyFont="1" applyFill="1" applyBorder="1" applyAlignment="1">
      <alignment horizontal="center" vertical="center"/>
    </xf>
    <xf numFmtId="0" fontId="8" fillId="10" borderId="1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10" borderId="12" xfId="0" applyFont="1" applyFill="1" applyBorder="1" applyAlignment="1">
      <alignment horizontal="center" vertical="center"/>
    </xf>
    <xf numFmtId="166" fontId="0" fillId="0" borderId="18" xfId="0" applyNumberFormat="1" applyBorder="1" applyAlignment="1">
      <alignment horizontal="center" vertical="center"/>
    </xf>
    <xf numFmtId="166" fontId="0" fillId="0" borderId="19" xfId="0" applyNumberFormat="1" applyBorder="1" applyAlignment="1">
      <alignment horizontal="center" vertical="center"/>
    </xf>
    <xf numFmtId="166" fontId="0" fillId="11" borderId="20" xfId="0" applyNumberFormat="1" applyFill="1" applyBorder="1" applyAlignment="1">
      <alignment horizontal="center" vertical="center"/>
    </xf>
    <xf numFmtId="0" fontId="0" fillId="8" borderId="43" xfId="0" applyFill="1" applyBorder="1" applyAlignment="1">
      <alignment horizontal="center" vertical="center"/>
    </xf>
    <xf numFmtId="167" fontId="0" fillId="0" borderId="38" xfId="0" applyNumberFormat="1" applyFill="1" applyBorder="1" applyAlignment="1">
      <alignment horizontal="center" vertical="center"/>
    </xf>
    <xf numFmtId="0" fontId="19" fillId="10" borderId="0" xfId="0" applyFont="1" applyFill="1" applyBorder="1" applyAlignment="1">
      <alignment horizontal="center" vertical="center"/>
    </xf>
    <xf numFmtId="166" fontId="0" fillId="0" borderId="21" xfId="0" applyNumberFormat="1" applyBorder="1" applyAlignment="1">
      <alignment horizontal="center" vertical="center"/>
    </xf>
    <xf numFmtId="166" fontId="0" fillId="0" borderId="1" xfId="0" applyNumberFormat="1" applyBorder="1" applyAlignment="1">
      <alignment horizontal="center" vertical="center"/>
    </xf>
    <xf numFmtId="166" fontId="0" fillId="0" borderId="22" xfId="0" applyNumberFormat="1" applyBorder="1" applyAlignment="1">
      <alignment horizontal="center" vertical="center"/>
    </xf>
    <xf numFmtId="0" fontId="0" fillId="8" borderId="39" xfId="0" applyFill="1" applyBorder="1" applyAlignment="1">
      <alignment horizontal="center" vertical="center"/>
    </xf>
    <xf numFmtId="167" fontId="0" fillId="0" borderId="39" xfId="0" applyNumberFormat="1" applyFill="1" applyBorder="1" applyAlignment="1">
      <alignment horizontal="center" vertical="center"/>
    </xf>
    <xf numFmtId="166" fontId="0" fillId="0" borderId="23" xfId="0" applyNumberFormat="1" applyBorder="1" applyAlignment="1">
      <alignment horizontal="center" vertical="center"/>
    </xf>
    <xf numFmtId="166" fontId="0" fillId="0" borderId="24" xfId="0" applyNumberFormat="1" applyBorder="1" applyAlignment="1">
      <alignment horizontal="center" vertical="center"/>
    </xf>
    <xf numFmtId="166" fontId="0" fillId="0" borderId="25" xfId="0" applyNumberFormat="1" applyBorder="1" applyAlignment="1">
      <alignment horizontal="center" vertical="center"/>
    </xf>
    <xf numFmtId="0" fontId="0" fillId="8" borderId="40" xfId="0" applyFill="1" applyBorder="1" applyAlignment="1">
      <alignment horizontal="center" vertical="center"/>
    </xf>
    <xf numFmtId="167" fontId="0" fillId="0" borderId="40" xfId="0" applyNumberFormat="1" applyFill="1" applyBorder="1" applyAlignment="1">
      <alignment horizontal="center" vertical="center"/>
    </xf>
    <xf numFmtId="0" fontId="0" fillId="8" borderId="38" xfId="0" applyFill="1" applyBorder="1" applyAlignment="1">
      <alignment horizontal="center" vertical="center"/>
    </xf>
    <xf numFmtId="166" fontId="0" fillId="0" borderId="26" xfId="0" applyNumberFormat="1" applyBorder="1" applyAlignment="1">
      <alignment horizontal="center" vertical="center"/>
    </xf>
    <xf numFmtId="166" fontId="0" fillId="0" borderId="27" xfId="0" applyNumberFormat="1" applyBorder="1" applyAlignment="1">
      <alignment horizontal="center" vertical="center"/>
    </xf>
    <xf numFmtId="166" fontId="0" fillId="0" borderId="28" xfId="0" applyNumberFormat="1" applyBorder="1" applyAlignment="1">
      <alignment horizontal="center" vertical="center"/>
    </xf>
    <xf numFmtId="0" fontId="0" fillId="8" borderId="42" xfId="0" applyFill="1" applyBorder="1" applyAlignment="1">
      <alignment horizontal="center" vertical="center"/>
    </xf>
    <xf numFmtId="0" fontId="8" fillId="10" borderId="7" xfId="0" applyFont="1" applyFill="1" applyBorder="1" applyAlignment="1">
      <alignment horizontal="center" vertical="center"/>
    </xf>
    <xf numFmtId="0" fontId="8" fillId="10" borderId="6" xfId="0" applyFont="1" applyFill="1" applyBorder="1" applyAlignment="1">
      <alignment horizontal="center" vertical="center"/>
    </xf>
    <xf numFmtId="0" fontId="0" fillId="10" borderId="6" xfId="0" applyFill="1" applyBorder="1" applyAlignment="1">
      <alignment horizontal="center" vertical="center"/>
    </xf>
    <xf numFmtId="0" fontId="0" fillId="10" borderId="8" xfId="0" applyFill="1" applyBorder="1" applyAlignment="1">
      <alignment horizontal="center" vertical="center"/>
    </xf>
    <xf numFmtId="0" fontId="0" fillId="10" borderId="11" xfId="0" applyFill="1" applyBorder="1" applyAlignment="1">
      <alignment horizontal="center" vertical="center"/>
    </xf>
    <xf numFmtId="0" fontId="8" fillId="10" borderId="13" xfId="0" applyFont="1" applyFill="1" applyBorder="1" applyAlignment="1">
      <alignment horizontal="center" vertical="center"/>
    </xf>
    <xf numFmtId="0" fontId="0" fillId="10" borderId="14" xfId="0" applyFill="1" applyBorder="1" applyAlignment="1">
      <alignment horizontal="center" vertical="center"/>
    </xf>
    <xf numFmtId="165" fontId="0" fillId="0" borderId="18" xfId="0" applyNumberFormat="1"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10" borderId="50" xfId="0" applyFill="1" applyBorder="1" applyAlignment="1">
      <alignment horizontal="center" vertical="center"/>
    </xf>
    <xf numFmtId="0" fontId="8" fillId="10" borderId="34" xfId="0" applyFont="1" applyFill="1" applyBorder="1" applyAlignment="1">
      <alignment horizontal="center" vertical="center"/>
    </xf>
    <xf numFmtId="0" fontId="8" fillId="0" borderId="51" xfId="0" applyFont="1" applyFill="1" applyBorder="1" applyAlignment="1">
      <alignment horizontal="center" vertical="center"/>
    </xf>
    <xf numFmtId="0" fontId="8" fillId="10" borderId="55" xfId="0" applyFont="1" applyFill="1" applyBorder="1" applyAlignment="1">
      <alignment horizontal="center" vertical="center"/>
    </xf>
    <xf numFmtId="0" fontId="8" fillId="10" borderId="41" xfId="0" applyFont="1" applyFill="1" applyBorder="1" applyAlignment="1">
      <alignment horizontal="center" vertical="center"/>
    </xf>
    <xf numFmtId="0" fontId="8" fillId="0" borderId="52" xfId="0" applyFont="1" applyFill="1" applyBorder="1" applyAlignment="1">
      <alignment horizontal="center" vertical="center"/>
    </xf>
    <xf numFmtId="0" fontId="8" fillId="10" borderId="49"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167" fontId="6" fillId="15" borderId="38" xfId="0" applyNumberFormat="1" applyFont="1" applyFill="1" applyBorder="1" applyAlignment="1">
      <alignment horizontal="center" vertical="center"/>
    </xf>
    <xf numFmtId="167" fontId="6" fillId="15" borderId="39" xfId="0" applyNumberFormat="1" applyFont="1" applyFill="1" applyBorder="1" applyAlignment="1">
      <alignment horizontal="center" vertical="center"/>
    </xf>
    <xf numFmtId="167" fontId="6" fillId="15" borderId="40" xfId="0" applyNumberFormat="1" applyFont="1" applyFill="1" applyBorder="1" applyAlignment="1">
      <alignment horizontal="center" vertical="center"/>
    </xf>
    <xf numFmtId="166" fontId="0" fillId="0" borderId="61" xfId="0" applyNumberFormat="1" applyBorder="1" applyAlignment="1">
      <alignment horizontal="center" vertical="center"/>
    </xf>
    <xf numFmtId="166" fontId="0" fillId="0" borderId="64" xfId="0" applyNumberFormat="1" applyBorder="1" applyAlignment="1">
      <alignment horizontal="center" vertical="center"/>
    </xf>
    <xf numFmtId="166" fontId="0" fillId="0" borderId="63" xfId="0" applyNumberFormat="1" applyBorder="1" applyAlignment="1">
      <alignment horizontal="center" vertical="center"/>
    </xf>
    <xf numFmtId="166" fontId="0" fillId="0" borderId="48" xfId="0" applyNumberFormat="1" applyBorder="1" applyAlignment="1">
      <alignment horizontal="center" vertical="center"/>
    </xf>
    <xf numFmtId="166" fontId="0" fillId="0" borderId="62" xfId="0" applyNumberFormat="1" applyBorder="1" applyAlignment="1">
      <alignment horizontal="center" vertical="center"/>
    </xf>
    <xf numFmtId="166" fontId="0" fillId="10" borderId="35" xfId="0" applyNumberFormat="1" applyFill="1" applyBorder="1" applyAlignment="1">
      <alignment horizontal="center" vertical="center"/>
    </xf>
    <xf numFmtId="166" fontId="0" fillId="10" borderId="66" xfId="0" applyNumberFormat="1" applyFill="1" applyBorder="1" applyAlignment="1">
      <alignment horizontal="center" vertical="center"/>
    </xf>
    <xf numFmtId="0" fontId="0" fillId="0" borderId="0" xfId="0" applyAlignment="1">
      <alignment horizontal="center" vertical="center"/>
    </xf>
    <xf numFmtId="0" fontId="0" fillId="14" borderId="0" xfId="0" applyFill="1" applyAlignment="1">
      <alignment horizontal="center" vertical="center"/>
    </xf>
    <xf numFmtId="0" fontId="16" fillId="9" borderId="4" xfId="0" applyFont="1" applyFill="1" applyBorder="1" applyAlignment="1">
      <alignment horizontal="center" vertical="center"/>
    </xf>
    <xf numFmtId="0" fontId="3" fillId="0" borderId="0" xfId="0" applyFont="1" applyBorder="1" applyAlignment="1">
      <alignment horizontal="lef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44" xfId="0" applyBorder="1" applyAlignment="1">
      <alignment horizontal="center" vertical="center"/>
    </xf>
    <xf numFmtId="0" fontId="8" fillId="0" borderId="31" xfId="0" applyFont="1" applyFill="1" applyBorder="1" applyAlignment="1">
      <alignment horizontal="center" vertical="center"/>
    </xf>
    <xf numFmtId="166" fontId="8" fillId="0" borderId="19" xfId="0" applyNumberFormat="1" applyFont="1" applyFill="1" applyBorder="1" applyAlignment="1">
      <alignment horizontal="center" vertical="center"/>
    </xf>
    <xf numFmtId="166" fontId="8" fillId="0" borderId="20" xfId="0" applyNumberFormat="1" applyFont="1" applyFill="1" applyBorder="1" applyAlignment="1">
      <alignment horizontal="center" vertical="center"/>
    </xf>
    <xf numFmtId="0" fontId="8" fillId="0" borderId="32" xfId="0"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0" borderId="22" xfId="0" applyNumberFormat="1" applyFont="1" applyFill="1" applyBorder="1" applyAlignment="1">
      <alignment horizontal="center" vertical="center"/>
    </xf>
    <xf numFmtId="0" fontId="8" fillId="0" borderId="33" xfId="0" applyFont="1" applyFill="1" applyBorder="1" applyAlignment="1">
      <alignment horizontal="center" vertical="center"/>
    </xf>
    <xf numFmtId="166" fontId="8" fillId="0" borderId="24" xfId="0" applyNumberFormat="1" applyFont="1" applyFill="1" applyBorder="1" applyAlignment="1">
      <alignment horizontal="center" vertical="center"/>
    </xf>
    <xf numFmtId="166" fontId="8" fillId="0" borderId="25"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16" fillId="9"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166" fontId="8" fillId="0" borderId="67" xfId="0" applyNumberFormat="1" applyFont="1" applyFill="1" applyBorder="1" applyAlignment="1">
      <alignment horizontal="center" vertical="center"/>
    </xf>
    <xf numFmtId="166" fontId="8" fillId="0" borderId="68" xfId="0" applyNumberFormat="1" applyFont="1" applyFill="1" applyBorder="1" applyAlignment="1">
      <alignment horizontal="center" vertical="center"/>
    </xf>
    <xf numFmtId="166" fontId="8" fillId="0" borderId="44" xfId="0" applyNumberFormat="1" applyFont="1" applyFill="1" applyBorder="1" applyAlignment="1">
      <alignment horizontal="center" vertical="center"/>
    </xf>
    <xf numFmtId="0" fontId="0" fillId="10" borderId="7" xfId="0" applyFill="1" applyBorder="1" applyAlignment="1">
      <alignment horizontal="center" vertical="center"/>
    </xf>
    <xf numFmtId="0" fontId="0" fillId="0" borderId="0" xfId="0" applyFill="1" applyAlignment="1">
      <alignment horizontal="center" vertical="center"/>
    </xf>
    <xf numFmtId="0" fontId="22" fillId="17" borderId="0" xfId="0" applyFont="1" applyFill="1" applyBorder="1" applyAlignment="1">
      <alignment horizontal="center" vertical="center"/>
    </xf>
    <xf numFmtId="0" fontId="21" fillId="17" borderId="0" xfId="0" applyFont="1" applyFill="1" applyAlignment="1">
      <alignment horizontal="center" vertical="center"/>
    </xf>
    <xf numFmtId="0" fontId="23" fillId="0" borderId="1" xfId="0" applyFont="1" applyBorder="1" applyAlignment="1">
      <alignment horizontal="center" vertical="center"/>
    </xf>
    <xf numFmtId="0" fontId="23" fillId="18" borderId="1" xfId="0" applyFont="1" applyFill="1" applyBorder="1" applyAlignment="1"/>
    <xf numFmtId="0" fontId="24" fillId="18" borderId="72" xfId="0" applyFont="1" applyFill="1" applyBorder="1" applyAlignment="1"/>
    <xf numFmtId="0" fontId="24" fillId="18" borderId="73" xfId="0" applyFont="1" applyFill="1" applyBorder="1"/>
    <xf numFmtId="0" fontId="25" fillId="18" borderId="74" xfId="0" applyFont="1" applyFill="1" applyBorder="1" applyAlignment="1">
      <alignment horizontal="center" vertical="center"/>
    </xf>
    <xf numFmtId="0" fontId="25" fillId="18" borderId="73" xfId="0" applyFont="1" applyFill="1" applyBorder="1" applyAlignment="1">
      <alignment horizontal="center" vertical="center"/>
    </xf>
    <xf numFmtId="0" fontId="23" fillId="0" borderId="1" xfId="0" applyFont="1" applyBorder="1"/>
    <xf numFmtId="0" fontId="23" fillId="18" borderId="1" xfId="0" applyFont="1" applyFill="1" applyBorder="1" applyAlignment="1">
      <alignment vertical="center" wrapText="1"/>
    </xf>
    <xf numFmtId="0" fontId="26" fillId="9" borderId="0" xfId="0" applyFont="1" applyFill="1"/>
    <xf numFmtId="0" fontId="26" fillId="9" borderId="0" xfId="0" applyFont="1" applyFill="1" applyAlignment="1">
      <alignment horizontal="left" vertical="center"/>
    </xf>
    <xf numFmtId="0" fontId="26" fillId="9" borderId="73" xfId="0" applyFont="1" applyFill="1" applyBorder="1"/>
    <xf numFmtId="164" fontId="26" fillId="9" borderId="74" xfId="0" applyNumberFormat="1" applyFont="1" applyFill="1" applyBorder="1" applyAlignment="1">
      <alignment horizontal="center" vertical="center"/>
    </xf>
    <xf numFmtId="0" fontId="26" fillId="9" borderId="0" xfId="0" applyFont="1" applyFill="1" applyBorder="1"/>
    <xf numFmtId="43" fontId="26" fillId="9" borderId="9" xfId="1" applyFont="1" applyFill="1" applyBorder="1" applyAlignment="1">
      <alignment horizontal="center" vertical="center"/>
    </xf>
    <xf numFmtId="0" fontId="27" fillId="18" borderId="0" xfId="0" applyFont="1" applyFill="1"/>
    <xf numFmtId="9" fontId="27" fillId="18" borderId="66" xfId="0" applyNumberFormat="1" applyFont="1" applyFill="1" applyBorder="1" applyAlignment="1">
      <alignment horizontal="center" vertical="center"/>
    </xf>
    <xf numFmtId="164" fontId="28" fillId="18" borderId="0" xfId="1" applyNumberFormat="1" applyFont="1" applyFill="1" applyAlignment="1">
      <alignment horizontal="center" vertical="center"/>
    </xf>
    <xf numFmtId="0" fontId="27" fillId="18" borderId="0" xfId="0" applyFont="1" applyFill="1" applyAlignment="1">
      <alignment horizontal="center" vertical="center"/>
    </xf>
    <xf numFmtId="164" fontId="27" fillId="18" borderId="0" xfId="1" applyNumberFormat="1" applyFont="1" applyFill="1" applyAlignment="1">
      <alignment horizontal="center" vertical="center"/>
    </xf>
    <xf numFmtId="0" fontId="27" fillId="18" borderId="73" xfId="0" applyFont="1" applyFill="1" applyBorder="1"/>
    <xf numFmtId="164" fontId="28" fillId="18" borderId="73" xfId="1" applyNumberFormat="1" applyFont="1" applyFill="1" applyBorder="1" applyAlignment="1">
      <alignment horizontal="center" vertical="center"/>
    </xf>
    <xf numFmtId="0" fontId="27" fillId="18" borderId="73" xfId="0" applyFont="1" applyFill="1" applyBorder="1" applyAlignment="1">
      <alignment horizontal="center" vertical="center"/>
    </xf>
    <xf numFmtId="9" fontId="27" fillId="18" borderId="0" xfId="0" applyNumberFormat="1" applyFont="1" applyFill="1" applyAlignment="1">
      <alignment horizontal="center" vertical="center"/>
    </xf>
    <xf numFmtId="9" fontId="27" fillId="18" borderId="9" xfId="0" applyNumberFormat="1" applyFont="1" applyFill="1" applyBorder="1" applyAlignment="1">
      <alignment horizontal="center" vertical="center"/>
    </xf>
    <xf numFmtId="0" fontId="27" fillId="18" borderId="75" xfId="0" applyFont="1" applyFill="1" applyBorder="1" applyAlignment="1">
      <alignment horizontal="center" vertical="center"/>
    </xf>
    <xf numFmtId="9" fontId="27" fillId="18" borderId="75" xfId="0" applyNumberFormat="1" applyFont="1" applyFill="1" applyBorder="1" applyAlignment="1">
      <alignment horizontal="center" vertical="center"/>
    </xf>
    <xf numFmtId="0" fontId="27" fillId="18" borderId="75" xfId="0" applyFont="1" applyFill="1" applyBorder="1"/>
    <xf numFmtId="164" fontId="27" fillId="18" borderId="66" xfId="1" applyNumberFormat="1" applyFont="1" applyFill="1" applyBorder="1" applyAlignment="1">
      <alignment horizontal="center" vertical="center"/>
    </xf>
    <xf numFmtId="164" fontId="27" fillId="18" borderId="9" xfId="1" applyNumberFormat="1" applyFont="1" applyFill="1" applyBorder="1" applyAlignment="1">
      <alignment horizontal="center" vertical="center"/>
    </xf>
    <xf numFmtId="164" fontId="27" fillId="18" borderId="75" xfId="1" applyNumberFormat="1" applyFont="1" applyFill="1" applyBorder="1" applyAlignment="1">
      <alignment horizontal="center" vertical="center"/>
    </xf>
    <xf numFmtId="168" fontId="27" fillId="18" borderId="0" xfId="1" applyNumberFormat="1" applyFont="1" applyFill="1" applyAlignment="1">
      <alignment horizontal="center" vertical="center"/>
    </xf>
    <xf numFmtId="165" fontId="27" fillId="18" borderId="0" xfId="0" applyNumberFormat="1" applyFont="1" applyFill="1" applyAlignment="1">
      <alignment horizontal="center" vertical="center"/>
    </xf>
    <xf numFmtId="168" fontId="27" fillId="18" borderId="75" xfId="1" applyNumberFormat="1" applyFont="1" applyFill="1" applyBorder="1" applyAlignment="1">
      <alignment horizontal="center" vertical="center"/>
    </xf>
    <xf numFmtId="164" fontId="27" fillId="18" borderId="66" xfId="0" applyNumberFormat="1" applyFont="1" applyFill="1" applyBorder="1" applyAlignment="1">
      <alignment horizontal="center" vertical="center"/>
    </xf>
    <xf numFmtId="164" fontId="27" fillId="18" borderId="0" xfId="0" applyNumberFormat="1" applyFont="1" applyFill="1" applyAlignment="1">
      <alignment horizontal="center" vertical="center"/>
    </xf>
    <xf numFmtId="164" fontId="27" fillId="18" borderId="9" xfId="0" applyNumberFormat="1" applyFont="1" applyFill="1" applyBorder="1" applyAlignment="1">
      <alignment horizontal="center" vertical="center"/>
    </xf>
    <xf numFmtId="164" fontId="27" fillId="18" borderId="75" xfId="0" applyNumberFormat="1" applyFont="1" applyFill="1" applyBorder="1" applyAlignment="1">
      <alignment horizontal="center" vertical="center"/>
    </xf>
    <xf numFmtId="0" fontId="27" fillId="18" borderId="0" xfId="0" applyFont="1" applyFill="1" applyBorder="1"/>
    <xf numFmtId="165" fontId="27" fillId="18" borderId="66" xfId="0" applyNumberFormat="1" applyFont="1" applyFill="1" applyBorder="1" applyAlignment="1">
      <alignment horizontal="center" vertical="center"/>
    </xf>
    <xf numFmtId="165" fontId="27" fillId="18" borderId="9" xfId="0" applyNumberFormat="1" applyFont="1" applyFill="1" applyBorder="1" applyAlignment="1">
      <alignment horizontal="center" vertical="center"/>
    </xf>
    <xf numFmtId="43" fontId="27" fillId="18" borderId="0" xfId="1" applyFont="1" applyFill="1" applyAlignment="1">
      <alignment horizontal="center" vertical="center"/>
    </xf>
    <xf numFmtId="43" fontId="27" fillId="18" borderId="0" xfId="0" applyNumberFormat="1" applyFont="1" applyFill="1" applyAlignment="1">
      <alignment horizontal="center" vertical="center"/>
    </xf>
    <xf numFmtId="0" fontId="27" fillId="18" borderId="76" xfId="0" applyFont="1" applyFill="1" applyBorder="1"/>
    <xf numFmtId="0" fontId="27" fillId="18" borderId="0" xfId="0" applyFont="1" applyFill="1" applyBorder="1" applyAlignment="1">
      <alignment horizontal="center" vertical="center"/>
    </xf>
    <xf numFmtId="0" fontId="27" fillId="18" borderId="76" xfId="0" applyFont="1" applyFill="1" applyBorder="1" applyAlignment="1">
      <alignment horizontal="center" vertical="center"/>
    </xf>
    <xf numFmtId="43" fontId="27" fillId="18" borderId="73" xfId="1" applyFont="1" applyFill="1" applyBorder="1" applyAlignment="1">
      <alignment horizontal="center" vertical="center"/>
    </xf>
    <xf numFmtId="43" fontId="27" fillId="18" borderId="73" xfId="0" applyNumberFormat="1" applyFont="1" applyFill="1" applyBorder="1" applyAlignment="1">
      <alignment horizontal="center" vertical="center"/>
    </xf>
    <xf numFmtId="165" fontId="28" fillId="18" borderId="75" xfId="0" applyNumberFormat="1" applyFont="1" applyFill="1" applyBorder="1" applyAlignment="1">
      <alignment horizontal="center" vertical="center"/>
    </xf>
    <xf numFmtId="165" fontId="27" fillId="18" borderId="75" xfId="0" applyNumberFormat="1" applyFont="1" applyFill="1" applyBorder="1" applyAlignment="1">
      <alignment horizontal="center" vertical="center"/>
    </xf>
    <xf numFmtId="43" fontId="27" fillId="18" borderId="66" xfId="1" applyFont="1" applyFill="1" applyBorder="1" applyAlignment="1">
      <alignment horizontal="center" vertical="center"/>
    </xf>
    <xf numFmtId="43" fontId="27" fillId="18" borderId="9" xfId="1" applyFont="1" applyFill="1" applyBorder="1" applyAlignment="1">
      <alignment horizontal="center" vertical="center"/>
    </xf>
    <xf numFmtId="0" fontId="28" fillId="17" borderId="0" xfId="0" applyFont="1" applyFill="1"/>
    <xf numFmtId="168" fontId="27" fillId="17" borderId="66" xfId="1" applyNumberFormat="1" applyFont="1" applyFill="1" applyBorder="1" applyAlignment="1">
      <alignment horizontal="center" vertical="center"/>
    </xf>
    <xf numFmtId="0" fontId="27" fillId="17" borderId="0" xfId="0" applyFont="1" applyFill="1" applyAlignment="1">
      <alignment horizontal="center" vertical="center"/>
    </xf>
    <xf numFmtId="168" fontId="27" fillId="17" borderId="0" xfId="1" applyNumberFormat="1" applyFont="1" applyFill="1" applyAlignment="1">
      <alignment horizontal="center" vertical="center"/>
    </xf>
    <xf numFmtId="0" fontId="27" fillId="17" borderId="0" xfId="0" applyFont="1" applyFill="1"/>
    <xf numFmtId="0" fontId="27" fillId="9" borderId="66" xfId="0" applyFont="1" applyFill="1" applyBorder="1" applyAlignment="1">
      <alignment horizontal="center" vertical="center"/>
    </xf>
    <xf numFmtId="0" fontId="27" fillId="9" borderId="0" xfId="0" applyFont="1" applyFill="1" applyAlignment="1">
      <alignment horizontal="center" vertical="center"/>
    </xf>
    <xf numFmtId="0" fontId="27" fillId="9" borderId="0" xfId="0" applyFont="1" applyFill="1"/>
    <xf numFmtId="0" fontId="27" fillId="17" borderId="66" xfId="0" applyFont="1" applyFill="1" applyBorder="1" applyAlignment="1">
      <alignment horizontal="center" vertical="center"/>
    </xf>
    <xf numFmtId="0" fontId="29" fillId="17" borderId="66" xfId="0" applyFont="1" applyFill="1" applyBorder="1" applyAlignment="1">
      <alignment horizontal="center" vertical="center"/>
    </xf>
    <xf numFmtId="0" fontId="29" fillId="17" borderId="0" xfId="0" applyFont="1" applyFill="1" applyAlignment="1">
      <alignment horizontal="center" vertical="center"/>
    </xf>
    <xf numFmtId="166" fontId="29" fillId="17" borderId="0" xfId="0" applyNumberFormat="1" applyFont="1" applyFill="1" applyAlignment="1">
      <alignment horizontal="center" vertical="center"/>
    </xf>
    <xf numFmtId="0" fontId="30" fillId="17" borderId="66" xfId="0" applyFont="1" applyFill="1" applyBorder="1" applyAlignment="1">
      <alignment horizontal="center" vertical="center"/>
    </xf>
    <xf numFmtId="0" fontId="28" fillId="9" borderId="73" xfId="0" applyFont="1" applyFill="1" applyBorder="1"/>
    <xf numFmtId="0" fontId="28" fillId="9" borderId="73" xfId="0" applyFont="1" applyFill="1" applyBorder="1" applyAlignment="1">
      <alignment horizontal="center" vertical="center"/>
    </xf>
    <xf numFmtId="164" fontId="28" fillId="9" borderId="73" xfId="0" applyNumberFormat="1" applyFont="1" applyFill="1" applyBorder="1" applyAlignment="1">
      <alignment horizontal="center" vertical="center"/>
    </xf>
    <xf numFmtId="164" fontId="27" fillId="9" borderId="66" xfId="1" applyNumberFormat="1" applyFont="1" applyFill="1" applyBorder="1" applyAlignment="1">
      <alignment horizontal="center" vertical="center"/>
    </xf>
    <xf numFmtId="164" fontId="27" fillId="16" borderId="9" xfId="1" applyNumberFormat="1" applyFont="1" applyFill="1" applyBorder="1" applyAlignment="1">
      <alignment horizontal="center" vertical="center"/>
    </xf>
    <xf numFmtId="0" fontId="27" fillId="16" borderId="75" xfId="0" applyFont="1" applyFill="1" applyBorder="1" applyAlignment="1">
      <alignment horizontal="center" vertical="center"/>
    </xf>
    <xf numFmtId="0" fontId="27" fillId="16" borderId="75" xfId="0" applyFont="1" applyFill="1" applyBorder="1"/>
    <xf numFmtId="43" fontId="27" fillId="9" borderId="0" xfId="1" applyFont="1" applyFill="1" applyAlignment="1">
      <alignment horizontal="center" vertical="center"/>
    </xf>
    <xf numFmtId="43" fontId="27" fillId="9" borderId="0" xfId="0" applyNumberFormat="1" applyFont="1" applyFill="1" applyAlignment="1">
      <alignment horizontal="center" vertical="center"/>
    </xf>
    <xf numFmtId="0" fontId="27" fillId="9" borderId="75" xfId="0" applyFont="1" applyFill="1" applyBorder="1" applyAlignment="1">
      <alignment horizontal="center" vertical="center"/>
    </xf>
    <xf numFmtId="0" fontId="27" fillId="9" borderId="75" xfId="0" applyFont="1" applyFill="1" applyBorder="1"/>
    <xf numFmtId="43" fontId="26" fillId="9" borderId="77" xfId="1" applyFont="1" applyFill="1" applyBorder="1" applyAlignment="1">
      <alignment horizontal="center" vertical="center"/>
    </xf>
    <xf numFmtId="0" fontId="27" fillId="18" borderId="82" xfId="0" applyFont="1" applyFill="1" applyBorder="1"/>
    <xf numFmtId="164" fontId="27" fillId="19" borderId="66" xfId="1" applyNumberFormat="1" applyFont="1" applyFill="1" applyBorder="1" applyAlignment="1">
      <alignment horizontal="center" vertical="center"/>
    </xf>
    <xf numFmtId="164" fontId="27" fillId="19" borderId="76" xfId="1" applyNumberFormat="1" applyFont="1" applyFill="1" applyBorder="1" applyAlignment="1">
      <alignment horizontal="center" vertical="center"/>
    </xf>
    <xf numFmtId="164" fontId="27" fillId="19" borderId="74" xfId="1" applyNumberFormat="1" applyFont="1" applyFill="1" applyBorder="1" applyAlignment="1">
      <alignment horizontal="center" vertical="center"/>
    </xf>
    <xf numFmtId="0" fontId="28" fillId="16" borderId="75" xfId="0" applyFont="1" applyFill="1" applyBorder="1"/>
    <xf numFmtId="0" fontId="28" fillId="17" borderId="75" xfId="0" applyFont="1" applyFill="1" applyBorder="1"/>
    <xf numFmtId="0" fontId="26" fillId="9" borderId="80" xfId="0" applyFont="1" applyFill="1" applyBorder="1"/>
    <xf numFmtId="0" fontId="26" fillId="9" borderId="1" xfId="0" applyFont="1" applyFill="1" applyBorder="1"/>
    <xf numFmtId="0" fontId="2" fillId="0" borderId="0" xfId="0" applyFont="1" applyBorder="1"/>
    <xf numFmtId="0" fontId="24" fillId="0" borderId="0" xfId="0" applyFont="1" applyBorder="1"/>
    <xf numFmtId="0" fontId="25" fillId="0" borderId="1" xfId="0" applyFont="1" applyBorder="1" applyAlignment="1">
      <alignment horizontal="center" vertical="center"/>
    </xf>
    <xf numFmtId="0" fontId="23" fillId="18" borderId="9" xfId="0" applyFont="1" applyFill="1" applyBorder="1" applyAlignment="1">
      <alignment vertical="center" wrapText="1"/>
    </xf>
    <xf numFmtId="0" fontId="26" fillId="9" borderId="76" xfId="0" applyFont="1" applyFill="1" applyBorder="1"/>
    <xf numFmtId="0" fontId="23" fillId="18" borderId="77" xfId="0" applyFont="1" applyFill="1" applyBorder="1" applyAlignment="1">
      <alignment vertical="center" wrapText="1"/>
    </xf>
    <xf numFmtId="0" fontId="26" fillId="9" borderId="77" xfId="0" applyFont="1" applyFill="1" applyBorder="1"/>
    <xf numFmtId="0" fontId="28" fillId="9" borderId="84" xfId="0" applyFont="1" applyFill="1" applyBorder="1" applyAlignment="1">
      <alignment horizontal="center" vertical="center"/>
    </xf>
    <xf numFmtId="0" fontId="28" fillId="9" borderId="84" xfId="0" applyFont="1" applyFill="1" applyBorder="1"/>
    <xf numFmtId="43" fontId="26" fillId="9" borderId="74" xfId="1" applyFont="1" applyFill="1" applyBorder="1" applyAlignment="1">
      <alignment horizontal="center" vertical="center"/>
    </xf>
    <xf numFmtId="0" fontId="27" fillId="9" borderId="73" xfId="0" applyFont="1" applyFill="1" applyBorder="1" applyAlignment="1">
      <alignment horizontal="center" vertical="center"/>
    </xf>
    <xf numFmtId="0" fontId="27" fillId="9" borderId="73" xfId="0" applyFont="1" applyFill="1" applyBorder="1"/>
    <xf numFmtId="43" fontId="26" fillId="9" borderId="78" xfId="1" applyFont="1" applyFill="1" applyBorder="1" applyAlignment="1">
      <alignment horizontal="center" vertical="center"/>
    </xf>
    <xf numFmtId="0" fontId="27" fillId="9" borderId="79" xfId="0" applyFont="1" applyFill="1" applyBorder="1" applyAlignment="1">
      <alignment horizontal="center" vertical="center"/>
    </xf>
    <xf numFmtId="0" fontId="27" fillId="9" borderId="79" xfId="0" applyFont="1" applyFill="1" applyBorder="1"/>
    <xf numFmtId="0" fontId="26" fillId="9" borderId="87" xfId="0" applyFont="1" applyFill="1" applyBorder="1"/>
    <xf numFmtId="0" fontId="26" fillId="9" borderId="82" xfId="0" applyFont="1" applyFill="1" applyBorder="1"/>
    <xf numFmtId="0" fontId="23" fillId="18" borderId="78" xfId="0" applyFont="1" applyFill="1" applyBorder="1" applyAlignment="1">
      <alignment vertical="center" wrapText="1"/>
    </xf>
    <xf numFmtId="9" fontId="27" fillId="0" borderId="74" xfId="0" applyNumberFormat="1" applyFont="1" applyFill="1" applyBorder="1" applyAlignment="1">
      <alignment horizontal="center" vertical="center"/>
    </xf>
    <xf numFmtId="0" fontId="27" fillId="18" borderId="0" xfId="0" applyFont="1" applyFill="1" applyAlignment="1">
      <alignment horizontal="left" vertical="center"/>
    </xf>
    <xf numFmtId="0" fontId="27" fillId="18" borderId="0" xfId="0" applyFont="1" applyFill="1" applyBorder="1" applyAlignment="1">
      <alignment horizontal="left" vertical="center"/>
    </xf>
    <xf numFmtId="0" fontId="27" fillId="18" borderId="73" xfId="0" applyFont="1" applyFill="1" applyBorder="1" applyAlignment="1">
      <alignment horizontal="left" vertical="center"/>
    </xf>
    <xf numFmtId="43" fontId="26" fillId="9" borderId="74" xfId="1" applyNumberFormat="1" applyFont="1" applyFill="1" applyBorder="1" applyAlignment="1">
      <alignment horizontal="center" vertical="center"/>
    </xf>
    <xf numFmtId="43" fontId="27" fillId="9" borderId="73" xfId="0" applyNumberFormat="1" applyFont="1" applyFill="1" applyBorder="1" applyAlignment="1">
      <alignment horizontal="center" vertical="center"/>
    </xf>
    <xf numFmtId="43" fontId="27" fillId="9" borderId="73" xfId="0" applyNumberFormat="1" applyFont="1" applyFill="1" applyBorder="1"/>
    <xf numFmtId="171" fontId="31" fillId="0" borderId="1" xfId="1" applyNumberFormat="1" applyFont="1" applyFill="1" applyBorder="1"/>
    <xf numFmtId="171" fontId="31" fillId="0" borderId="1" xfId="1" applyNumberFormat="1" applyFont="1" applyFill="1" applyBorder="1" applyAlignment="1">
      <alignment horizontal="center" vertical="center"/>
    </xf>
    <xf numFmtId="0" fontId="23" fillId="18" borderId="27" xfId="0" applyFont="1" applyFill="1" applyBorder="1" applyAlignment="1">
      <alignment vertical="center" wrapText="1"/>
    </xf>
    <xf numFmtId="43" fontId="26" fillId="9" borderId="66" xfId="1" applyFont="1" applyFill="1" applyBorder="1" applyAlignment="1">
      <alignment horizontal="center" vertical="center"/>
    </xf>
    <xf numFmtId="43" fontId="0" fillId="0" borderId="0" xfId="0" applyNumberFormat="1"/>
    <xf numFmtId="0" fontId="16" fillId="9" borderId="3"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5" xfId="0" applyFont="1" applyFill="1" applyBorder="1" applyAlignment="1">
      <alignment horizontal="center" vertical="center"/>
    </xf>
    <xf numFmtId="2" fontId="0" fillId="0" borderId="0" xfId="0" applyNumberFormat="1"/>
    <xf numFmtId="167" fontId="0" fillId="0" borderId="0" xfId="0" applyNumberFormat="1"/>
    <xf numFmtId="9" fontId="0" fillId="0" borderId="0" xfId="2" applyFont="1"/>
    <xf numFmtId="9" fontId="31" fillId="0" borderId="1" xfId="2" applyFont="1" applyFill="1" applyBorder="1"/>
    <xf numFmtId="43" fontId="26" fillId="9" borderId="1" xfId="1" applyFont="1" applyFill="1" applyBorder="1" applyAlignment="1">
      <alignment horizontal="center" vertical="center"/>
    </xf>
    <xf numFmtId="0" fontId="27" fillId="9" borderId="1" xfId="0" applyFont="1" applyFill="1" applyBorder="1" applyAlignment="1">
      <alignment horizontal="center" vertical="center"/>
    </xf>
    <xf numFmtId="43" fontId="26" fillId="9" borderId="83" xfId="1" applyNumberFormat="1" applyFont="1" applyFill="1" applyBorder="1" applyAlignment="1">
      <alignment horizontal="center" vertical="center"/>
    </xf>
    <xf numFmtId="0" fontId="0" fillId="0" borderId="0" xfId="0" applyBorder="1"/>
    <xf numFmtId="0" fontId="28" fillId="18" borderId="0" xfId="0" applyFont="1" applyFill="1" applyBorder="1" applyAlignment="1">
      <alignment horizontal="center" vertical="center" textRotation="90"/>
    </xf>
    <xf numFmtId="0" fontId="27" fillId="18" borderId="89" xfId="0" applyFont="1" applyFill="1" applyBorder="1"/>
    <xf numFmtId="0" fontId="27" fillId="18" borderId="66" xfId="0" applyFont="1" applyFill="1" applyBorder="1"/>
    <xf numFmtId="43" fontId="27" fillId="18" borderId="66" xfId="0" applyNumberFormat="1" applyFont="1" applyFill="1" applyBorder="1"/>
    <xf numFmtId="0" fontId="28" fillId="18" borderId="76" xfId="0" applyFont="1" applyFill="1" applyBorder="1"/>
    <xf numFmtId="0" fontId="27" fillId="18" borderId="86" xfId="0" applyFont="1" applyFill="1" applyBorder="1"/>
    <xf numFmtId="0" fontId="27" fillId="18" borderId="81" xfId="0" applyFont="1" applyFill="1" applyBorder="1"/>
    <xf numFmtId="0" fontId="27" fillId="18" borderId="49" xfId="0" applyFont="1" applyFill="1" applyBorder="1"/>
    <xf numFmtId="43" fontId="27" fillId="18" borderId="49" xfId="0" applyNumberFormat="1" applyFont="1" applyFill="1" applyBorder="1"/>
    <xf numFmtId="43" fontId="27" fillId="18" borderId="66" xfId="1" applyFont="1" applyFill="1" applyBorder="1"/>
    <xf numFmtId="43" fontId="27" fillId="18" borderId="0" xfId="1" applyFont="1" applyFill="1"/>
    <xf numFmtId="9" fontId="0" fillId="0" borderId="0" xfId="0" applyNumberFormat="1"/>
    <xf numFmtId="172" fontId="27" fillId="18" borderId="66" xfId="0" applyNumberFormat="1" applyFont="1" applyFill="1" applyBorder="1" applyAlignment="1">
      <alignment horizontal="center" vertical="center"/>
    </xf>
    <xf numFmtId="172" fontId="27" fillId="0" borderId="74" xfId="0" applyNumberFormat="1" applyFont="1" applyFill="1" applyBorder="1" applyAlignment="1">
      <alignment horizontal="center" vertical="center"/>
    </xf>
    <xf numFmtId="172" fontId="27" fillId="18" borderId="74" xfId="0" applyNumberFormat="1" applyFont="1" applyFill="1" applyBorder="1" applyAlignment="1">
      <alignment horizontal="center" vertical="center"/>
    </xf>
    <xf numFmtId="0" fontId="23" fillId="18" borderId="0" xfId="0" applyFont="1" applyFill="1" applyBorder="1" applyAlignment="1">
      <alignment vertical="center" wrapText="1"/>
    </xf>
    <xf numFmtId="0" fontId="28" fillId="9" borderId="0" xfId="0" applyFont="1" applyFill="1" applyBorder="1" applyAlignment="1">
      <alignment horizontal="center" vertical="center"/>
    </xf>
    <xf numFmtId="0" fontId="28" fillId="9" borderId="0" xfId="0" applyFont="1" applyFill="1" applyBorder="1"/>
    <xf numFmtId="0" fontId="28" fillId="18" borderId="0" xfId="0" applyFont="1" applyFill="1" applyBorder="1"/>
    <xf numFmtId="0" fontId="28" fillId="18" borderId="80" xfId="0" applyFont="1" applyFill="1" applyBorder="1"/>
    <xf numFmtId="170" fontId="28" fillId="17" borderId="1" xfId="2" applyNumberFormat="1" applyFont="1" applyFill="1" applyBorder="1" applyAlignment="1">
      <alignment horizontal="center" vertical="center"/>
    </xf>
    <xf numFmtId="173" fontId="27" fillId="18" borderId="76" xfId="0" applyNumberFormat="1" applyFont="1" applyFill="1" applyBorder="1"/>
    <xf numFmtId="173" fontId="28" fillId="18" borderId="66" xfId="1" applyNumberFormat="1" applyFont="1" applyFill="1" applyBorder="1" applyAlignment="1">
      <alignment horizontal="center" vertical="center"/>
    </xf>
    <xf numFmtId="173" fontId="28" fillId="18" borderId="66" xfId="0" applyNumberFormat="1" applyFont="1" applyFill="1" applyBorder="1"/>
    <xf numFmtId="173" fontId="28" fillId="18" borderId="0" xfId="0" applyNumberFormat="1" applyFont="1" applyFill="1"/>
    <xf numFmtId="173" fontId="27" fillId="18" borderId="66" xfId="1" applyNumberFormat="1" applyFont="1" applyFill="1" applyBorder="1" applyAlignment="1">
      <alignment horizontal="center" vertical="center"/>
    </xf>
    <xf numFmtId="173" fontId="26" fillId="9" borderId="74" xfId="1" applyNumberFormat="1" applyFont="1" applyFill="1" applyBorder="1" applyAlignment="1">
      <alignment horizontal="center" vertical="center"/>
    </xf>
    <xf numFmtId="173" fontId="28" fillId="9" borderId="73" xfId="0" applyNumberFormat="1" applyFont="1" applyFill="1" applyBorder="1" applyAlignment="1">
      <alignment horizontal="center" vertical="center"/>
    </xf>
    <xf numFmtId="173" fontId="28" fillId="9" borderId="73" xfId="0" applyNumberFormat="1" applyFont="1" applyFill="1" applyBorder="1"/>
    <xf numFmtId="173" fontId="28" fillId="18" borderId="0" xfId="0" applyNumberFormat="1" applyFont="1" applyFill="1" applyBorder="1" applyAlignment="1">
      <alignment horizontal="center" vertical="center"/>
    </xf>
    <xf numFmtId="173" fontId="28" fillId="18" borderId="0" xfId="0" applyNumberFormat="1" applyFont="1" applyFill="1" applyBorder="1"/>
    <xf numFmtId="173" fontId="28" fillId="18" borderId="74" xfId="1" applyNumberFormat="1" applyFont="1" applyFill="1" applyBorder="1" applyAlignment="1">
      <alignment horizontal="center" vertical="center"/>
    </xf>
    <xf numFmtId="173" fontId="28" fillId="18" borderId="73" xfId="0" applyNumberFormat="1" applyFont="1" applyFill="1" applyBorder="1" applyAlignment="1">
      <alignment horizontal="center" vertical="center"/>
    </xf>
    <xf numFmtId="173" fontId="28" fillId="18" borderId="73" xfId="0" applyNumberFormat="1" applyFont="1" applyFill="1" applyBorder="1"/>
    <xf numFmtId="173" fontId="26" fillId="9" borderId="66" xfId="1" applyNumberFormat="1" applyFont="1" applyFill="1" applyBorder="1" applyAlignment="1">
      <alignment horizontal="center" vertical="center"/>
    </xf>
    <xf numFmtId="173" fontId="28" fillId="9" borderId="0" xfId="0" applyNumberFormat="1" applyFont="1" applyFill="1" applyBorder="1" applyAlignment="1">
      <alignment horizontal="center" vertical="center"/>
    </xf>
    <xf numFmtId="173" fontId="28" fillId="9" borderId="0" xfId="0" applyNumberFormat="1" applyFont="1" applyFill="1" applyBorder="1"/>
    <xf numFmtId="170" fontId="28" fillId="17" borderId="52" xfId="2" applyNumberFormat="1" applyFont="1" applyFill="1" applyBorder="1" applyAlignment="1">
      <alignment horizontal="center" vertical="center"/>
    </xf>
    <xf numFmtId="170" fontId="28" fillId="17" borderId="52" xfId="2" applyNumberFormat="1" applyFont="1" applyFill="1" applyBorder="1"/>
    <xf numFmtId="0" fontId="26" fillId="9" borderId="72" xfId="0" applyFont="1" applyFill="1" applyBorder="1"/>
    <xf numFmtId="173" fontId="26" fillId="9" borderId="77" xfId="1" applyNumberFormat="1" applyFont="1" applyFill="1" applyBorder="1" applyAlignment="1">
      <alignment horizontal="center" vertical="center"/>
    </xf>
    <xf numFmtId="173" fontId="28" fillId="9" borderId="84" xfId="0" applyNumberFormat="1" applyFont="1" applyFill="1" applyBorder="1" applyAlignment="1">
      <alignment horizontal="center" vertical="center"/>
    </xf>
    <xf numFmtId="173" fontId="28" fillId="9" borderId="84" xfId="0" applyNumberFormat="1" applyFont="1" applyFill="1" applyBorder="1"/>
    <xf numFmtId="8" fontId="0" fillId="0" borderId="0" xfId="0" applyNumberFormat="1"/>
    <xf numFmtId="173" fontId="0" fillId="0" borderId="0" xfId="0" applyNumberFormat="1"/>
    <xf numFmtId="173" fontId="28" fillId="18" borderId="77" xfId="1" applyNumberFormat="1" applyFont="1" applyFill="1" applyBorder="1" applyAlignment="1">
      <alignment horizontal="center" vertical="center"/>
    </xf>
    <xf numFmtId="166" fontId="0" fillId="0" borderId="20" xfId="0" applyNumberFormat="1" applyFill="1" applyBorder="1" applyAlignment="1">
      <alignment horizontal="center" vertical="center"/>
    </xf>
    <xf numFmtId="0" fontId="14" fillId="9" borderId="15"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2" xfId="0" applyFont="1" applyFill="1" applyBorder="1" applyAlignment="1">
      <alignment horizontal="center" vertical="center"/>
    </xf>
    <xf numFmtId="167" fontId="0" fillId="0" borderId="43" xfId="0" applyNumberFormat="1" applyFill="1" applyBorder="1" applyAlignment="1">
      <alignment horizontal="center" vertical="center"/>
    </xf>
    <xf numFmtId="166" fontId="0" fillId="0" borderId="68" xfId="0" applyNumberFormat="1" applyBorder="1" applyAlignment="1">
      <alignment horizontal="center" vertical="center"/>
    </xf>
    <xf numFmtId="166" fontId="0" fillId="0" borderId="71" xfId="0" applyNumberFormat="1" applyBorder="1" applyAlignment="1">
      <alignment horizontal="center" vertical="center"/>
    </xf>
    <xf numFmtId="166" fontId="0" fillId="0" borderId="44" xfId="0" applyNumberFormat="1" applyBorder="1" applyAlignment="1">
      <alignment horizontal="center" vertical="center"/>
    </xf>
    <xf numFmtId="166" fontId="0" fillId="0" borderId="30" xfId="0" applyNumberFormat="1" applyBorder="1" applyAlignment="1">
      <alignment horizontal="center" vertical="center"/>
    </xf>
    <xf numFmtId="166" fontId="0" fillId="0" borderId="92" xfId="0" applyNumberFormat="1" applyBorder="1" applyAlignment="1">
      <alignment horizontal="center" vertical="center"/>
    </xf>
    <xf numFmtId="166" fontId="0" fillId="0" borderId="11" xfId="0" applyNumberFormat="1" applyFill="1" applyBorder="1" applyAlignment="1">
      <alignment horizontal="center" vertical="center"/>
    </xf>
    <xf numFmtId="166" fontId="0" fillId="0" borderId="30" xfId="0" applyNumberFormat="1" applyFill="1" applyBorder="1" applyAlignment="1">
      <alignment horizontal="center" vertical="center"/>
    </xf>
    <xf numFmtId="0" fontId="0" fillId="8" borderId="63" xfId="0" applyFill="1" applyBorder="1" applyAlignment="1">
      <alignment horizontal="center" vertical="center"/>
    </xf>
    <xf numFmtId="0" fontId="0" fillId="8" borderId="48" xfId="0" applyFill="1" applyBorder="1" applyAlignment="1">
      <alignment horizontal="center" vertical="center"/>
    </xf>
    <xf numFmtId="166" fontId="3" fillId="20" borderId="93" xfId="0" applyNumberFormat="1" applyFont="1" applyFill="1" applyBorder="1" applyAlignment="1">
      <alignment horizontal="center" vertical="center"/>
    </xf>
    <xf numFmtId="166" fontId="0" fillId="10" borderId="94" xfId="0" applyNumberFormat="1" applyFill="1" applyBorder="1" applyAlignment="1">
      <alignment horizontal="center" vertical="center"/>
    </xf>
    <xf numFmtId="166" fontId="0" fillId="0" borderId="95" xfId="0" applyNumberFormat="1" applyBorder="1" applyAlignment="1">
      <alignment horizontal="center" vertical="center"/>
    </xf>
    <xf numFmtId="166" fontId="0" fillId="0" borderId="82" xfId="0" applyNumberFormat="1" applyBorder="1" applyAlignment="1">
      <alignment horizontal="center" vertical="center"/>
    </xf>
    <xf numFmtId="166" fontId="0" fillId="0" borderId="29" xfId="0" applyNumberFormat="1" applyBorder="1" applyAlignment="1">
      <alignment horizontal="center" vertical="center"/>
    </xf>
    <xf numFmtId="166" fontId="0" fillId="0" borderId="97" xfId="0" applyNumberFormat="1" applyBorder="1" applyAlignment="1">
      <alignment horizontal="center" vertical="center"/>
    </xf>
    <xf numFmtId="166" fontId="0" fillId="10" borderId="99" xfId="0" applyNumberFormat="1" applyFill="1" applyBorder="1" applyAlignment="1">
      <alignment horizontal="center" vertical="center"/>
    </xf>
    <xf numFmtId="166" fontId="0" fillId="0" borderId="100" xfId="0" applyNumberFormat="1" applyBorder="1" applyAlignment="1">
      <alignment horizontal="center" vertical="center"/>
    </xf>
    <xf numFmtId="166" fontId="0" fillId="21" borderId="96" xfId="0" applyNumberFormat="1" applyFill="1" applyBorder="1" applyAlignment="1">
      <alignment horizontal="center" vertical="center"/>
    </xf>
    <xf numFmtId="166" fontId="0" fillId="21" borderId="98" xfId="0" applyNumberFormat="1" applyFill="1" applyBorder="1" applyAlignment="1">
      <alignment horizontal="center" vertical="center"/>
    </xf>
    <xf numFmtId="0" fontId="14" fillId="9" borderId="3" xfId="0" applyFont="1" applyFill="1" applyBorder="1" applyAlignment="1">
      <alignment vertical="center"/>
    </xf>
    <xf numFmtId="0" fontId="14" fillId="9" borderId="5" xfId="0" applyFont="1" applyFill="1" applyBorder="1" applyAlignment="1">
      <alignment vertical="center"/>
    </xf>
    <xf numFmtId="0" fontId="5" fillId="5" borderId="0" xfId="0" applyFont="1" applyFill="1" applyAlignment="1">
      <alignment horizontal="left"/>
    </xf>
    <xf numFmtId="166" fontId="0" fillId="0" borderId="9" xfId="0" applyNumberFormat="1" applyBorder="1" applyAlignment="1">
      <alignment horizontal="center" vertical="center"/>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166" fontId="0" fillId="0" borderId="101" xfId="0" applyNumberFormat="1" applyBorder="1" applyAlignment="1">
      <alignment horizontal="center" vertical="center"/>
    </xf>
    <xf numFmtId="166" fontId="0" fillId="0" borderId="67" xfId="0" applyNumberFormat="1" applyBorder="1" applyAlignment="1">
      <alignment horizontal="center" vertical="center"/>
    </xf>
    <xf numFmtId="166" fontId="0" fillId="0" borderId="70" xfId="0" applyNumberFormat="1" applyBorder="1" applyAlignment="1">
      <alignment horizontal="center" vertical="center"/>
    </xf>
    <xf numFmtId="0" fontId="33" fillId="0" borderId="43" xfId="0" applyFont="1" applyFill="1" applyBorder="1" applyAlignment="1">
      <alignment horizontal="center" vertical="center"/>
    </xf>
    <xf numFmtId="166" fontId="3" fillId="20" borderId="22" xfId="0" applyNumberFormat="1" applyFont="1" applyFill="1" applyBorder="1" applyAlignment="1">
      <alignment horizontal="center" vertical="center"/>
    </xf>
    <xf numFmtId="166" fontId="3" fillId="20" borderId="25" xfId="0" applyNumberFormat="1" applyFont="1" applyFill="1" applyBorder="1" applyAlignment="1">
      <alignment horizontal="center" vertical="center"/>
    </xf>
    <xf numFmtId="166" fontId="3" fillId="20" borderId="102" xfId="0" applyNumberFormat="1" applyFont="1" applyFill="1" applyBorder="1" applyAlignment="1">
      <alignment horizontal="center" vertical="center"/>
    </xf>
    <xf numFmtId="166" fontId="3" fillId="20" borderId="30" xfId="0" applyNumberFormat="1" applyFont="1" applyFill="1" applyBorder="1" applyAlignment="1">
      <alignment horizontal="center" vertical="center"/>
    </xf>
    <xf numFmtId="166" fontId="3" fillId="20" borderId="20" xfId="0" applyNumberFormat="1" applyFont="1" applyFill="1" applyBorder="1" applyAlignment="1">
      <alignment horizontal="center" vertical="center"/>
    </xf>
    <xf numFmtId="0" fontId="33" fillId="0" borderId="38" xfId="0" applyFont="1" applyFill="1" applyBorder="1" applyAlignment="1">
      <alignment horizontal="center" vertical="center"/>
    </xf>
    <xf numFmtId="0" fontId="6" fillId="9" borderId="1" xfId="0" applyFont="1" applyFill="1" applyBorder="1" applyAlignment="1">
      <alignment horizontal="center"/>
    </xf>
    <xf numFmtId="0" fontId="5" fillId="5" borderId="0" xfId="0" applyFont="1" applyFill="1" applyAlignment="1">
      <alignment horizontal="center"/>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3" fillId="0" borderId="0" xfId="0" applyFont="1" applyAlignment="1">
      <alignment horizontal="center" vertical="center"/>
    </xf>
    <xf numFmtId="0" fontId="16" fillId="9" borderId="3"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5" xfId="0" applyFont="1" applyFill="1" applyBorder="1" applyAlignment="1">
      <alignment horizontal="center" vertical="center"/>
    </xf>
    <xf numFmtId="0" fontId="14" fillId="9" borderId="3" xfId="0" applyFont="1" applyFill="1" applyBorder="1" applyAlignment="1">
      <alignment horizontal="center" vertical="center"/>
    </xf>
    <xf numFmtId="0" fontId="14" fillId="9" borderId="4" xfId="0" applyFont="1" applyFill="1" applyBorder="1" applyAlignment="1">
      <alignment horizontal="center" vertical="center"/>
    </xf>
    <xf numFmtId="0" fontId="14" fillId="9" borderId="5"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11" xfId="0" applyFont="1" applyBorder="1" applyAlignment="1">
      <alignment horizontal="center" vertical="center" wrapText="1"/>
    </xf>
    <xf numFmtId="0" fontId="6" fillId="5" borderId="0" xfId="0" applyFont="1" applyFill="1" applyAlignment="1">
      <alignment horizontal="center"/>
    </xf>
    <xf numFmtId="0" fontId="15" fillId="9" borderId="6" xfId="0" applyFont="1" applyFill="1" applyBorder="1" applyAlignment="1">
      <alignment horizontal="center" vertical="center"/>
    </xf>
    <xf numFmtId="0" fontId="20" fillId="15" borderId="15" xfId="0" applyFont="1" applyFill="1" applyBorder="1" applyAlignment="1">
      <alignment horizontal="center" vertical="center" wrapText="1"/>
    </xf>
    <xf numFmtId="0" fontId="20" fillId="15" borderId="16" xfId="0" applyFont="1" applyFill="1" applyBorder="1" applyAlignment="1">
      <alignment horizontal="center" vertical="center" wrapText="1"/>
    </xf>
    <xf numFmtId="0" fontId="20" fillId="15" borderId="17" xfId="0" applyFont="1" applyFill="1" applyBorder="1" applyAlignment="1">
      <alignment horizontal="center" vertical="center" wrapText="1"/>
    </xf>
    <xf numFmtId="0" fontId="28" fillId="18" borderId="81" xfId="0" applyFont="1" applyFill="1" applyBorder="1" applyAlignment="1">
      <alignment horizontal="center" vertical="center" textRotation="90"/>
    </xf>
    <xf numFmtId="0" fontId="28" fillId="18" borderId="66" xfId="0" applyFont="1" applyFill="1" applyBorder="1" applyAlignment="1">
      <alignment horizontal="center" vertical="center" textRotation="90"/>
    </xf>
    <xf numFmtId="0" fontId="28" fillId="18" borderId="74" xfId="0" applyFont="1" applyFill="1" applyBorder="1" applyAlignment="1">
      <alignment horizontal="center" vertical="center" textRotation="90"/>
    </xf>
    <xf numFmtId="0" fontId="28" fillId="18" borderId="0" xfId="0" applyFont="1" applyFill="1" applyBorder="1" applyAlignment="1">
      <alignment horizontal="center" vertical="center" textRotation="90"/>
    </xf>
    <xf numFmtId="0" fontId="6" fillId="5" borderId="0" xfId="0" applyFont="1" applyFill="1" applyBorder="1" applyAlignment="1">
      <alignment horizontal="center"/>
    </xf>
    <xf numFmtId="173" fontId="28" fillId="18" borderId="90" xfId="1" applyNumberFormat="1" applyFont="1" applyFill="1" applyBorder="1" applyAlignment="1">
      <alignment horizontal="center" vertical="center"/>
    </xf>
    <xf numFmtId="173" fontId="28" fillId="18" borderId="84" xfId="1" applyNumberFormat="1" applyFont="1" applyFill="1" applyBorder="1" applyAlignment="1">
      <alignment horizontal="center" vertical="center"/>
    </xf>
    <xf numFmtId="173" fontId="28" fillId="18" borderId="72" xfId="1" applyNumberFormat="1" applyFont="1" applyFill="1" applyBorder="1" applyAlignment="1">
      <alignment horizontal="center" vertical="center"/>
    </xf>
    <xf numFmtId="173" fontId="28" fillId="18" borderId="91" xfId="1" applyNumberFormat="1" applyFont="1" applyFill="1" applyBorder="1" applyAlignment="1">
      <alignment horizontal="center" vertical="center"/>
    </xf>
    <xf numFmtId="173" fontId="28" fillId="18" borderId="88" xfId="1" applyNumberFormat="1" applyFont="1" applyFill="1" applyBorder="1" applyAlignment="1">
      <alignment horizontal="center" vertical="center"/>
    </xf>
    <xf numFmtId="0" fontId="28" fillId="18" borderId="85" xfId="0" applyFont="1" applyFill="1" applyBorder="1" applyAlignment="1">
      <alignment horizontal="center" vertical="center" textRotation="90"/>
    </xf>
    <xf numFmtId="0" fontId="28" fillId="18" borderId="27" xfId="0" applyFont="1" applyFill="1" applyBorder="1" applyAlignment="1">
      <alignment horizontal="center" vertical="center" textRotation="90"/>
    </xf>
    <xf numFmtId="0" fontId="28" fillId="18" borderId="1" xfId="0" applyFont="1" applyFill="1" applyBorder="1" applyAlignment="1">
      <alignment horizontal="center" vertical="center" textRotation="90"/>
    </xf>
    <xf numFmtId="0" fontId="28" fillId="18" borderId="77" xfId="0" applyFont="1" applyFill="1" applyBorder="1" applyAlignment="1">
      <alignment horizontal="center" vertical="center" textRotation="90"/>
    </xf>
    <xf numFmtId="0" fontId="28" fillId="18" borderId="81" xfId="0" applyFont="1" applyFill="1" applyBorder="1" applyAlignment="1">
      <alignment horizontal="center" vertical="center" textRotation="90" wrapText="1"/>
    </xf>
    <xf numFmtId="0" fontId="28" fillId="18" borderId="66" xfId="0" applyFont="1" applyFill="1" applyBorder="1" applyAlignment="1">
      <alignment horizontal="center" vertical="center" textRotation="90" wrapText="1"/>
    </xf>
    <xf numFmtId="0" fontId="28" fillId="18" borderId="74" xfId="0" applyFont="1" applyFill="1" applyBorder="1" applyAlignment="1">
      <alignment horizontal="center" vertical="center" textRotation="90" wrapText="1"/>
    </xf>
    <xf numFmtId="0" fontId="27" fillId="9" borderId="68" xfId="0" applyFont="1" applyFill="1" applyBorder="1" applyAlignment="1">
      <alignment horizontal="center" vertical="center"/>
    </xf>
    <xf numFmtId="0" fontId="27" fillId="9" borderId="52" xfId="0" applyFont="1" applyFill="1" applyBorder="1" applyAlignment="1">
      <alignment horizontal="center" vertical="center"/>
    </xf>
    <xf numFmtId="0" fontId="27" fillId="9" borderId="32"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8" xfId="0" applyFont="1" applyFill="1" applyBorder="1" applyAlignment="1">
      <alignment horizontal="center" vertical="center"/>
    </xf>
    <xf numFmtId="0" fontId="13" fillId="0" borderId="43"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3" fillId="0" borderId="6" xfId="0" applyFont="1" applyBorder="1" applyAlignment="1">
      <alignment vertical="center"/>
    </xf>
    <xf numFmtId="0" fontId="3" fillId="0" borderId="0" xfId="0" applyFont="1" applyBorder="1" applyAlignment="1">
      <alignment vertical="center"/>
    </xf>
    <xf numFmtId="0" fontId="34" fillId="0" borderId="0" xfId="0" applyFont="1"/>
    <xf numFmtId="171" fontId="35" fillId="0" borderId="0" xfId="1" applyNumberFormat="1" applyFont="1" applyFill="1" applyBorder="1"/>
    <xf numFmtId="43" fontId="34" fillId="0" borderId="0" xfId="0" applyNumberFormat="1" applyFont="1"/>
    <xf numFmtId="0" fontId="34" fillId="0" borderId="0" xfId="0" applyFont="1" applyAlignment="1">
      <alignment horizontal="right"/>
    </xf>
    <xf numFmtId="43" fontId="34" fillId="0" borderId="0" xfId="1" applyFont="1"/>
    <xf numFmtId="167" fontId="34" fillId="0" borderId="0" xfId="0" applyNumberFormat="1" applyFont="1"/>
  </cellXfs>
  <cellStyles count="3">
    <cellStyle name="Comma" xfId="1" builtinId="3"/>
    <cellStyle name="Normal" xfId="0" builtinId="0"/>
    <cellStyle name="Percent" xfId="2" builtinId="5"/>
  </cellStyles>
  <dxfs count="84">
    <dxf>
      <font>
        <b/>
        <i val="0"/>
        <color auto="1"/>
      </font>
      <fill>
        <patternFill>
          <bgColor theme="5" tint="0.59996337778862885"/>
        </patternFill>
      </fill>
    </dxf>
    <dxf>
      <font>
        <b/>
        <i val="0"/>
      </font>
      <fill>
        <patternFill>
          <bgColor theme="6" tint="0.39994506668294322"/>
        </patternFill>
      </fill>
    </dxf>
    <dxf>
      <font>
        <b/>
        <i val="0"/>
      </font>
      <fill>
        <patternFill>
          <bgColor theme="5" tint="0.59996337778862885"/>
        </patternFill>
      </fill>
    </dxf>
    <dxf>
      <font>
        <b/>
        <i val="0"/>
      </font>
      <fill>
        <patternFill>
          <bgColor theme="6" tint="0.59996337778862885"/>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1"/>
      </font>
      <fill>
        <patternFill>
          <bgColor rgb="FF92D050"/>
        </patternFill>
      </fill>
    </dxf>
    <dxf>
      <font>
        <b/>
        <i val="0"/>
        <color theme="0"/>
      </font>
      <fill>
        <patternFill>
          <bgColor rgb="FFFF0000"/>
        </patternFill>
      </fill>
    </dxf>
    <dxf>
      <font>
        <b/>
        <i val="0"/>
        <color theme="1"/>
      </font>
      <fill>
        <patternFill>
          <bgColor rgb="FF92D050"/>
        </patternFill>
      </fill>
    </dxf>
    <dxf>
      <font>
        <b/>
        <i val="0"/>
        <color theme="0"/>
      </font>
      <fill>
        <patternFill>
          <bgColor rgb="FFFF0000"/>
        </patternFill>
      </fill>
    </dxf>
    <dxf>
      <font>
        <b/>
        <i val="0"/>
        <color theme="1"/>
      </font>
      <fill>
        <patternFill>
          <bgColor rgb="FF92D050"/>
        </patternFill>
      </fill>
    </dxf>
    <dxf>
      <font>
        <b/>
        <i val="0"/>
        <color theme="0"/>
      </font>
      <fill>
        <patternFill>
          <bgColor rgb="FFFF0000"/>
        </patternFill>
      </fill>
    </dxf>
    <dxf>
      <font>
        <b/>
        <i val="0"/>
        <color theme="1"/>
      </font>
      <fill>
        <patternFill>
          <bgColor rgb="FF92D050"/>
        </patternFill>
      </fill>
    </dxf>
    <dxf>
      <font>
        <b/>
        <i val="0"/>
        <color theme="0"/>
      </font>
      <fill>
        <patternFill>
          <bgColor rgb="FFFF0000"/>
        </patternFill>
      </fill>
    </dxf>
    <dxf>
      <font>
        <b/>
        <i val="0"/>
        <color auto="1"/>
      </font>
      <fill>
        <patternFill>
          <bgColor theme="5" tint="0.59996337778862885"/>
        </patternFill>
      </fill>
    </dxf>
    <dxf>
      <font>
        <b/>
        <i val="0"/>
      </font>
      <fill>
        <patternFill>
          <bgColor theme="6" tint="0.39994506668294322"/>
        </patternFill>
      </fill>
    </dxf>
    <dxf>
      <font>
        <b/>
        <i val="0"/>
        <color auto="1"/>
      </font>
      <fill>
        <patternFill>
          <bgColor theme="5" tint="0.59996337778862885"/>
        </patternFill>
      </fill>
    </dxf>
    <dxf>
      <font>
        <b/>
        <i val="0"/>
      </font>
      <fill>
        <patternFill>
          <bgColor theme="6" tint="0.39994506668294322"/>
        </patternFill>
      </fill>
    </dxf>
    <dxf>
      <font>
        <b/>
        <i val="0"/>
        <color auto="1"/>
      </font>
      <fill>
        <patternFill>
          <bgColor theme="5" tint="0.59996337778862885"/>
        </patternFill>
      </fill>
    </dxf>
    <dxf>
      <font>
        <b/>
        <i val="0"/>
      </font>
      <fill>
        <patternFill>
          <bgColor theme="6" tint="0.39994506668294322"/>
        </patternFill>
      </fill>
    </dxf>
    <dxf>
      <font>
        <b/>
        <i val="0"/>
        <color auto="1"/>
      </font>
      <fill>
        <patternFill>
          <bgColor theme="5" tint="0.59996337778862885"/>
        </patternFill>
      </fill>
    </dxf>
    <dxf>
      <font>
        <b/>
        <i val="0"/>
      </font>
      <fill>
        <patternFill>
          <bgColor theme="6" tint="0.39994506668294322"/>
        </patternFill>
      </fill>
    </dxf>
    <dxf>
      <font>
        <b/>
        <i val="0"/>
        <color auto="1"/>
      </font>
      <fill>
        <patternFill>
          <bgColor theme="5" tint="0.59996337778862885"/>
        </patternFill>
      </fill>
    </dxf>
    <dxf>
      <font>
        <b/>
        <i val="0"/>
      </font>
      <fill>
        <patternFill>
          <bgColor theme="6" tint="0.39994506668294322"/>
        </patternFill>
      </fill>
    </dxf>
    <dxf>
      <font>
        <b/>
        <i val="0"/>
        <color auto="1"/>
      </font>
      <fill>
        <patternFill>
          <bgColor theme="5" tint="0.59996337778862885"/>
        </patternFill>
      </fill>
    </dxf>
    <dxf>
      <font>
        <b/>
        <i val="0"/>
      </font>
      <fill>
        <patternFill>
          <bgColor theme="6" tint="0.39994506668294322"/>
        </patternFill>
      </fill>
    </dxf>
    <dxf>
      <font>
        <b/>
        <i val="0"/>
        <color auto="1"/>
      </font>
      <fill>
        <patternFill>
          <bgColor theme="5" tint="0.59996337778862885"/>
        </patternFill>
      </fill>
    </dxf>
    <dxf>
      <font>
        <b/>
        <i val="0"/>
      </font>
      <fill>
        <patternFill>
          <bgColor theme="6" tint="0.39994506668294322"/>
        </patternFill>
      </fill>
    </dxf>
    <dxf>
      <font>
        <b/>
        <i val="0"/>
      </font>
      <fill>
        <patternFill>
          <bgColor theme="5" tint="0.59996337778862885"/>
        </patternFill>
      </fill>
    </dxf>
    <dxf>
      <font>
        <b/>
        <i val="0"/>
      </font>
      <fill>
        <patternFill>
          <bgColor theme="6" tint="0.59996337778862885"/>
        </patternFill>
      </fill>
    </dxf>
    <dxf>
      <font>
        <b/>
        <i val="0"/>
        <color auto="1"/>
      </font>
      <fill>
        <patternFill>
          <bgColor theme="5" tint="0.59996337778862885"/>
        </patternFill>
      </fill>
    </dxf>
    <dxf>
      <font>
        <b/>
        <i val="0"/>
      </font>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47625</xdr:colOff>
      <xdr:row>3</xdr:row>
      <xdr:rowOff>57150</xdr:rowOff>
    </xdr:from>
    <xdr:to>
      <xdr:col>7</xdr:col>
      <xdr:colOff>733425</xdr:colOff>
      <xdr:row>5</xdr:row>
      <xdr:rowOff>76200</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628650"/>
          <a:ext cx="449580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11204</xdr:colOff>
      <xdr:row>8</xdr:row>
      <xdr:rowOff>78441</xdr:rowOff>
    </xdr:from>
    <xdr:to>
      <xdr:col>9</xdr:col>
      <xdr:colOff>615602</xdr:colOff>
      <xdr:row>12</xdr:row>
      <xdr:rowOff>0</xdr:rowOff>
    </xdr:to>
    <xdr:pic>
      <xdr:nvPicPr>
        <xdr:cNvPr id="3" name="Picture 2"/>
        <xdr:cNvPicPr/>
      </xdr:nvPicPr>
      <xdr:blipFill rotWithShape="1">
        <a:blip xmlns:r="http://schemas.openxmlformats.org/officeDocument/2006/relationships" r:embed="rId2" cstate="print">
          <a:lum contrast="33000"/>
          <a:extLst>
            <a:ext uri="{28A0092B-C50C-407E-A947-70E740481C1C}">
              <a14:useLocalDpi xmlns:a14="http://schemas.microsoft.com/office/drawing/2010/main" val="0"/>
            </a:ext>
          </a:extLst>
        </a:blip>
        <a:srcRect l="927" r="927" b="8698"/>
        <a:stretch/>
      </xdr:blipFill>
      <xdr:spPr bwMode="auto">
        <a:xfrm>
          <a:off x="392204" y="1636059"/>
          <a:ext cx="8068237" cy="728382"/>
        </a:xfrm>
        <a:prstGeom prst="rect">
          <a:avLst/>
        </a:prstGeom>
        <a:noFill/>
        <a:ln>
          <a:noFill/>
        </a:ln>
        <a:extLst>
          <a:ext uri="{53640926-AAD7-44D8-BBD7-CCE9431645EC}">
            <a14:shadowObscured xmlns:a14="http://schemas.microsoft.com/office/drawing/2010/main"/>
          </a:ext>
        </a:extLst>
      </xdr:spPr>
    </xdr:pic>
    <xdr:clientData/>
  </xdr:twoCellAnchor>
  <xdr:twoCellAnchor>
    <xdr:from>
      <xdr:col>8</xdr:col>
      <xdr:colOff>1394332</xdr:colOff>
      <xdr:row>1</xdr:row>
      <xdr:rowOff>116861</xdr:rowOff>
    </xdr:from>
    <xdr:to>
      <xdr:col>14</xdr:col>
      <xdr:colOff>144301</xdr:colOff>
      <xdr:row>5</xdr:row>
      <xdr:rowOff>27214</xdr:rowOff>
    </xdr:to>
    <xdr:pic>
      <xdr:nvPicPr>
        <xdr:cNvPr id="4"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61832" y="320968"/>
          <a:ext cx="5444683" cy="685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xdr:colOff>
      <xdr:row>1</xdr:row>
      <xdr:rowOff>0</xdr:rowOff>
    </xdr:from>
    <xdr:to>
      <xdr:col>21</xdr:col>
      <xdr:colOff>607389</xdr:colOff>
      <xdr:row>3</xdr:row>
      <xdr:rowOff>181272</xdr:rowOff>
    </xdr:to>
    <xdr:pic>
      <xdr:nvPicPr>
        <xdr:cNvPr id="5"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742965" y="204107"/>
          <a:ext cx="4254103" cy="57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0</xdr:colOff>
      <xdr:row>5</xdr:row>
      <xdr:rowOff>0</xdr:rowOff>
    </xdr:from>
    <xdr:to>
      <xdr:col>21</xdr:col>
      <xdr:colOff>666750</xdr:colOff>
      <xdr:row>7</xdr:row>
      <xdr:rowOff>179294</xdr:rowOff>
    </xdr:to>
    <xdr:pic>
      <xdr:nvPicPr>
        <xdr:cNvPr id="6" name="Picture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742964" y="979714"/>
          <a:ext cx="4313465" cy="56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0</xdr:colOff>
      <xdr:row>9</xdr:row>
      <xdr:rowOff>0</xdr:rowOff>
    </xdr:from>
    <xdr:to>
      <xdr:col>21</xdr:col>
      <xdr:colOff>666750</xdr:colOff>
      <xdr:row>11</xdr:row>
      <xdr:rowOff>179294</xdr:rowOff>
    </xdr:to>
    <xdr:pic>
      <xdr:nvPicPr>
        <xdr:cNvPr id="7" name="Picture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742964" y="1755321"/>
          <a:ext cx="4313465" cy="56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86"/>
  <sheetViews>
    <sheetView zoomScale="70" zoomScaleNormal="70" workbookViewId="0"/>
  </sheetViews>
  <sheetFormatPr defaultRowHeight="15"/>
  <cols>
    <col min="1" max="1" width="8.88671875" style="1"/>
    <col min="2" max="2" width="19" style="1" bestFit="1" customWidth="1"/>
    <col min="3" max="3" width="9.44140625" style="1" bestFit="1" customWidth="1"/>
    <col min="4" max="4" width="9.44140625" style="1" customWidth="1"/>
    <col min="5" max="5" width="9.44140625" style="1" bestFit="1" customWidth="1"/>
    <col min="6" max="8" width="9.44140625" style="1" customWidth="1"/>
    <col min="9" max="10" width="8.88671875" style="1"/>
    <col min="11" max="11" width="18.88671875" style="1" bestFit="1" customWidth="1"/>
    <col min="12" max="17" width="11.5546875" style="1" bestFit="1" customWidth="1"/>
    <col min="18" max="16384" width="8.88671875" style="1"/>
  </cols>
  <sheetData>
    <row r="1" spans="1:17" ht="15.75">
      <c r="C1" s="26">
        <v>2013</v>
      </c>
      <c r="D1" s="26">
        <v>2014</v>
      </c>
      <c r="E1" s="26">
        <v>2015</v>
      </c>
      <c r="F1" s="26">
        <v>2016</v>
      </c>
      <c r="G1" s="26">
        <v>2017</v>
      </c>
      <c r="H1" s="26">
        <v>2018</v>
      </c>
      <c r="K1" s="271"/>
      <c r="L1" s="400" t="s">
        <v>184</v>
      </c>
      <c r="M1" s="400"/>
      <c r="N1" s="400"/>
      <c r="O1" s="400"/>
      <c r="P1" s="400"/>
      <c r="Q1" s="400"/>
    </row>
    <row r="2" spans="1:17" ht="18">
      <c r="B2" s="23" t="s">
        <v>41</v>
      </c>
      <c r="C2" s="13"/>
      <c r="D2" s="13"/>
      <c r="E2" s="13"/>
      <c r="F2" s="13"/>
      <c r="G2" s="13"/>
      <c r="H2" s="13"/>
      <c r="K2" s="272"/>
      <c r="L2" s="273">
        <v>2013</v>
      </c>
      <c r="M2" s="273">
        <v>2014</v>
      </c>
      <c r="N2" s="273">
        <v>2015</v>
      </c>
      <c r="O2" s="273">
        <v>2016</v>
      </c>
      <c r="P2" s="273">
        <v>2017</v>
      </c>
      <c r="Q2" s="273">
        <v>2018</v>
      </c>
    </row>
    <row r="3" spans="1:17" ht="15.75">
      <c r="B3" s="3" t="s">
        <v>77</v>
      </c>
      <c r="C3" s="13">
        <v>550</v>
      </c>
      <c r="D3" s="13">
        <v>0</v>
      </c>
      <c r="E3" s="13">
        <v>500</v>
      </c>
      <c r="F3" s="13">
        <v>8000</v>
      </c>
      <c r="G3" s="13">
        <v>16000</v>
      </c>
      <c r="H3" s="13">
        <v>23000</v>
      </c>
      <c r="K3" s="270" t="s">
        <v>183</v>
      </c>
      <c r="L3" s="296">
        <v>11346.610001696317</v>
      </c>
      <c r="M3" s="296">
        <v>10802.918272448369</v>
      </c>
      <c r="N3" s="296">
        <v>10259.226543200421</v>
      </c>
      <c r="O3" s="296">
        <v>10325.415101543649</v>
      </c>
      <c r="P3" s="296">
        <v>10391.603659886876</v>
      </c>
      <c r="Q3" s="296">
        <v>10457.792218230106</v>
      </c>
    </row>
    <row r="4" spans="1:17" ht="15.75">
      <c r="B4" s="3" t="s">
        <v>78</v>
      </c>
      <c r="C4" s="13">
        <f>C3/365</f>
        <v>1.5068493150684932</v>
      </c>
      <c r="D4" s="13">
        <f t="shared" ref="D4:H4" si="0">D3/365</f>
        <v>0</v>
      </c>
      <c r="E4" s="13">
        <f t="shared" si="0"/>
        <v>1.3698630136986301</v>
      </c>
      <c r="F4" s="13">
        <f t="shared" si="0"/>
        <v>21.917808219178081</v>
      </c>
      <c r="G4" s="13">
        <f t="shared" si="0"/>
        <v>43.835616438356162</v>
      </c>
      <c r="H4" s="13">
        <f t="shared" si="0"/>
        <v>63.013698630136986</v>
      </c>
      <c r="K4" s="270" t="s">
        <v>182</v>
      </c>
      <c r="L4" s="296">
        <v>43572.984749455332</v>
      </c>
      <c r="M4" s="296">
        <v>47058.823529411762</v>
      </c>
      <c r="N4" s="296">
        <v>50544.662309368192</v>
      </c>
      <c r="O4" s="296">
        <v>50849.67320261438</v>
      </c>
      <c r="P4" s="296">
        <v>51154.684095860561</v>
      </c>
      <c r="Q4" s="296">
        <v>51459.694989106749</v>
      </c>
    </row>
    <row r="5" spans="1:17" ht="15.75">
      <c r="B5" s="2" t="s">
        <v>80</v>
      </c>
      <c r="C5" s="13">
        <v>2800</v>
      </c>
      <c r="D5" s="13">
        <v>2850</v>
      </c>
      <c r="E5" s="13">
        <v>2850</v>
      </c>
      <c r="F5" s="13">
        <v>2900</v>
      </c>
      <c r="G5" s="13">
        <v>2900</v>
      </c>
      <c r="H5" s="13">
        <v>2950</v>
      </c>
      <c r="K5" s="270" t="s">
        <v>181</v>
      </c>
      <c r="L5" s="296">
        <v>25275.215502806179</v>
      </c>
      <c r="M5" s="296">
        <v>26538.976277946487</v>
      </c>
      <c r="N5" s="296">
        <v>27802.737053086799</v>
      </c>
      <c r="O5" s="296">
        <v>28055.489208114857</v>
      </c>
      <c r="P5" s="296">
        <v>28308.241363142926</v>
      </c>
      <c r="Q5" s="296">
        <v>28560.993518170984</v>
      </c>
    </row>
    <row r="6" spans="1:17" ht="15.75">
      <c r="B6" s="2" t="s">
        <v>2</v>
      </c>
      <c r="C6" s="13">
        <v>1350</v>
      </c>
      <c r="D6" s="13">
        <v>1350</v>
      </c>
      <c r="E6" s="13">
        <v>1350</v>
      </c>
      <c r="F6" s="13">
        <v>1400</v>
      </c>
      <c r="G6" s="13">
        <v>1400</v>
      </c>
      <c r="H6" s="13">
        <v>1400</v>
      </c>
      <c r="K6" s="270" t="s">
        <v>191</v>
      </c>
      <c r="L6" s="297">
        <v>3.7037037037037033</v>
      </c>
      <c r="M6" s="297">
        <v>6.3492063492063489</v>
      </c>
      <c r="N6" s="297">
        <v>8.9947089947089935</v>
      </c>
      <c r="O6" s="297">
        <v>11.640211640211639</v>
      </c>
      <c r="P6" s="297">
        <v>14.285714285714285</v>
      </c>
      <c r="Q6" s="297">
        <v>16.93121693121693</v>
      </c>
    </row>
    <row r="7" spans="1:17" ht="15.75">
      <c r="B7" s="2" t="s">
        <v>3</v>
      </c>
      <c r="C7" s="13">
        <v>500</v>
      </c>
      <c r="D7" s="13">
        <v>500</v>
      </c>
      <c r="E7" s="13">
        <v>500</v>
      </c>
      <c r="F7" s="13">
        <v>500</v>
      </c>
      <c r="G7" s="13">
        <v>500</v>
      </c>
      <c r="H7" s="13">
        <v>500</v>
      </c>
    </row>
    <row r="8" spans="1:17" ht="15.75">
      <c r="B8" s="2" t="s">
        <v>0</v>
      </c>
      <c r="C8" s="1">
        <v>48500</v>
      </c>
      <c r="D8" s="1">
        <v>48500</v>
      </c>
      <c r="E8" s="1">
        <v>48500</v>
      </c>
      <c r="F8" s="1">
        <v>48500</v>
      </c>
      <c r="G8" s="1">
        <v>48500</v>
      </c>
      <c r="H8" s="1">
        <v>48500</v>
      </c>
    </row>
    <row r="9" spans="1:17" ht="15.75">
      <c r="B9" s="2" t="s">
        <v>83</v>
      </c>
      <c r="C9" s="24">
        <f>C8/365</f>
        <v>132.87671232876713</v>
      </c>
      <c r="D9" s="24">
        <f t="shared" ref="D9:H9" si="1">D8/365</f>
        <v>132.87671232876713</v>
      </c>
      <c r="E9" s="24">
        <f t="shared" si="1"/>
        <v>132.87671232876713</v>
      </c>
      <c r="F9" s="24">
        <f t="shared" si="1"/>
        <v>132.87671232876713</v>
      </c>
      <c r="G9" s="24">
        <f t="shared" si="1"/>
        <v>132.87671232876713</v>
      </c>
      <c r="H9" s="24">
        <f t="shared" si="1"/>
        <v>132.87671232876713</v>
      </c>
    </row>
    <row r="10" spans="1:17" ht="15.75">
      <c r="B10" s="2" t="s">
        <v>81</v>
      </c>
      <c r="C10" s="13">
        <v>600</v>
      </c>
      <c r="D10" s="13">
        <v>600</v>
      </c>
      <c r="E10" s="13">
        <v>600</v>
      </c>
      <c r="F10" s="13">
        <v>600</v>
      </c>
      <c r="G10" s="13">
        <v>600</v>
      </c>
      <c r="H10" s="13">
        <v>600</v>
      </c>
    </row>
    <row r="11" spans="1:17" ht="15.75">
      <c r="B11" s="2" t="s">
        <v>82</v>
      </c>
      <c r="C11" s="13">
        <v>900</v>
      </c>
      <c r="D11" s="13">
        <v>900</v>
      </c>
      <c r="E11" s="13">
        <v>900</v>
      </c>
      <c r="F11" s="13">
        <v>900</v>
      </c>
      <c r="G11" s="13">
        <v>900</v>
      </c>
      <c r="H11" s="13">
        <v>900</v>
      </c>
    </row>
    <row r="12" spans="1:17" ht="15.75">
      <c r="B12" s="2" t="s">
        <v>1</v>
      </c>
      <c r="C12" s="13">
        <f>SUM(C38:C39)</f>
        <v>400</v>
      </c>
      <c r="D12" s="13">
        <f t="shared" ref="D12:H12" si="2">SUM(D38:D39)</f>
        <v>400</v>
      </c>
      <c r="E12" s="13">
        <f t="shared" si="2"/>
        <v>400</v>
      </c>
      <c r="F12" s="13">
        <f t="shared" si="2"/>
        <v>900</v>
      </c>
      <c r="G12" s="13">
        <f t="shared" si="2"/>
        <v>900</v>
      </c>
      <c r="H12" s="13">
        <f t="shared" si="2"/>
        <v>900</v>
      </c>
    </row>
    <row r="13" spans="1:17" ht="15.75">
      <c r="B13" s="2" t="s">
        <v>116</v>
      </c>
      <c r="C13" s="47">
        <v>4</v>
      </c>
      <c r="D13" s="47">
        <v>4</v>
      </c>
      <c r="E13" s="47">
        <v>4</v>
      </c>
      <c r="F13" s="47">
        <v>4</v>
      </c>
      <c r="G13" s="47">
        <v>4</v>
      </c>
      <c r="H13" s="47">
        <v>4</v>
      </c>
    </row>
    <row r="14" spans="1:17" ht="15.75">
      <c r="B14" s="2" t="s">
        <v>117</v>
      </c>
      <c r="C14" s="13">
        <v>4</v>
      </c>
      <c r="D14" s="13">
        <v>4</v>
      </c>
      <c r="E14" s="13">
        <v>5</v>
      </c>
      <c r="F14" s="13">
        <v>5</v>
      </c>
      <c r="G14" s="13">
        <v>5</v>
      </c>
      <c r="H14" s="13">
        <v>5</v>
      </c>
    </row>
    <row r="15" spans="1:17" ht="15.75">
      <c r="B15" s="21" t="s">
        <v>4</v>
      </c>
      <c r="C15" s="13"/>
      <c r="D15" s="13"/>
      <c r="E15" s="13"/>
      <c r="F15" s="13"/>
      <c r="G15" s="13"/>
      <c r="H15" s="13"/>
    </row>
    <row r="16" spans="1:17" ht="15.75">
      <c r="A16" s="4" t="s">
        <v>5</v>
      </c>
      <c r="B16" s="2" t="s">
        <v>7</v>
      </c>
      <c r="C16" s="14">
        <v>600</v>
      </c>
      <c r="D16" s="14">
        <v>600</v>
      </c>
      <c r="E16" s="14">
        <v>600</v>
      </c>
      <c r="F16" s="14">
        <v>600</v>
      </c>
      <c r="G16" s="14">
        <v>600</v>
      </c>
      <c r="H16" s="14">
        <v>600</v>
      </c>
    </row>
    <row r="17" spans="1:8" ht="15.75">
      <c r="A17" s="4" t="s">
        <v>5</v>
      </c>
      <c r="B17" s="2" t="s">
        <v>8</v>
      </c>
      <c r="C17" s="14">
        <v>250</v>
      </c>
      <c r="D17" s="14">
        <v>250</v>
      </c>
      <c r="E17" s="14">
        <v>250</v>
      </c>
      <c r="F17" s="14">
        <v>250</v>
      </c>
      <c r="G17" s="14">
        <v>250</v>
      </c>
      <c r="H17" s="14">
        <v>250</v>
      </c>
    </row>
    <row r="18" spans="1:8" ht="15.75">
      <c r="A18" s="4" t="s">
        <v>5</v>
      </c>
      <c r="B18" s="10" t="s">
        <v>9</v>
      </c>
      <c r="C18" s="15">
        <v>0</v>
      </c>
      <c r="D18" s="15">
        <v>0</v>
      </c>
      <c r="E18" s="15">
        <v>100</v>
      </c>
      <c r="F18" s="15">
        <v>100</v>
      </c>
      <c r="G18" s="15">
        <v>100</v>
      </c>
      <c r="H18" s="15">
        <v>100</v>
      </c>
    </row>
    <row r="19" spans="1:8" ht="15.75">
      <c r="A19" s="9" t="s">
        <v>6</v>
      </c>
      <c r="B19" s="12" t="s">
        <v>11</v>
      </c>
      <c r="C19" s="16">
        <v>0</v>
      </c>
      <c r="D19" s="16">
        <v>0</v>
      </c>
      <c r="E19" s="16">
        <v>0</v>
      </c>
      <c r="F19" s="17">
        <v>0</v>
      </c>
      <c r="G19" s="17">
        <v>200</v>
      </c>
      <c r="H19" s="17">
        <v>200</v>
      </c>
    </row>
    <row r="20" spans="1:8" ht="15.75">
      <c r="A20" s="5"/>
      <c r="B20" s="5"/>
      <c r="C20" s="18"/>
      <c r="D20" s="18"/>
      <c r="E20" s="18"/>
      <c r="F20" s="18"/>
      <c r="G20" s="18"/>
      <c r="H20" s="18"/>
    </row>
    <row r="21" spans="1:8" ht="15.75">
      <c r="B21" s="21" t="s">
        <v>12</v>
      </c>
      <c r="C21" s="18"/>
      <c r="D21" s="18"/>
      <c r="E21" s="18"/>
      <c r="F21" s="18"/>
      <c r="G21" s="18"/>
      <c r="H21" s="18"/>
    </row>
    <row r="22" spans="1:8" ht="15.75">
      <c r="B22" s="5"/>
      <c r="C22" s="14" t="s">
        <v>18</v>
      </c>
      <c r="D22" s="14" t="s">
        <v>18</v>
      </c>
      <c r="E22" s="14" t="s">
        <v>18</v>
      </c>
      <c r="F22" s="14" t="s">
        <v>18</v>
      </c>
      <c r="G22" s="14" t="s">
        <v>18</v>
      </c>
      <c r="H22" s="14" t="s">
        <v>18</v>
      </c>
    </row>
    <row r="23" spans="1:8" ht="15.75">
      <c r="B23" s="21" t="s">
        <v>13</v>
      </c>
      <c r="C23" s="18"/>
      <c r="D23" s="18"/>
      <c r="E23" s="18"/>
      <c r="F23" s="18"/>
      <c r="G23" s="18"/>
      <c r="H23" s="18"/>
    </row>
    <row r="24" spans="1:8" ht="15.75">
      <c r="A24" s="4" t="s">
        <v>5</v>
      </c>
      <c r="B24" s="5" t="s">
        <v>10</v>
      </c>
      <c r="C24" s="18">
        <v>800</v>
      </c>
      <c r="D24" s="18">
        <v>800</v>
      </c>
      <c r="E24" s="18">
        <v>800</v>
      </c>
      <c r="F24" s="18">
        <v>800</v>
      </c>
      <c r="G24" s="18">
        <v>800</v>
      </c>
      <c r="H24" s="18">
        <v>800</v>
      </c>
    </row>
    <row r="25" spans="1:8" ht="15.75">
      <c r="B25" s="22" t="s">
        <v>14</v>
      </c>
      <c r="C25" s="18"/>
      <c r="D25" s="18"/>
      <c r="E25" s="18"/>
      <c r="F25" s="18"/>
      <c r="G25" s="18"/>
      <c r="H25" s="18"/>
    </row>
    <row r="26" spans="1:8" ht="15.75">
      <c r="A26" s="9" t="s">
        <v>6</v>
      </c>
      <c r="B26" s="5" t="s">
        <v>19</v>
      </c>
      <c r="C26" s="18">
        <v>700</v>
      </c>
      <c r="D26" s="18">
        <v>700</v>
      </c>
      <c r="E26" s="18">
        <v>700</v>
      </c>
      <c r="F26" s="18">
        <v>700</v>
      </c>
      <c r="G26" s="18">
        <v>700</v>
      </c>
      <c r="H26" s="18">
        <v>700</v>
      </c>
    </row>
    <row r="27" spans="1:8" ht="15.75">
      <c r="B27" s="21" t="s">
        <v>15</v>
      </c>
      <c r="C27" s="18"/>
      <c r="D27" s="18"/>
      <c r="E27" s="18"/>
      <c r="F27" s="18"/>
      <c r="G27" s="18"/>
      <c r="H27" s="18"/>
    </row>
    <row r="28" spans="1:8">
      <c r="C28" s="18" t="s">
        <v>18</v>
      </c>
      <c r="D28" s="18" t="s">
        <v>18</v>
      </c>
      <c r="E28" s="18" t="s">
        <v>18</v>
      </c>
      <c r="F28" s="18" t="s">
        <v>18</v>
      </c>
      <c r="G28" s="18" t="s">
        <v>18</v>
      </c>
      <c r="H28" s="18" t="s">
        <v>18</v>
      </c>
    </row>
    <row r="29" spans="1:8" ht="15.75">
      <c r="B29" s="21" t="s">
        <v>65</v>
      </c>
      <c r="C29" s="18"/>
      <c r="D29" s="18"/>
      <c r="E29" s="18"/>
      <c r="F29" s="18"/>
      <c r="G29" s="18"/>
      <c r="H29" s="18"/>
    </row>
    <row r="30" spans="1:8" ht="15.75">
      <c r="A30" s="4" t="s">
        <v>5</v>
      </c>
      <c r="B30" s="5" t="s">
        <v>16</v>
      </c>
      <c r="C30" s="18">
        <v>250</v>
      </c>
      <c r="D30" s="18">
        <v>250</v>
      </c>
      <c r="E30" s="18">
        <v>250</v>
      </c>
      <c r="F30" s="18">
        <v>250</v>
      </c>
      <c r="G30" s="18">
        <v>250</v>
      </c>
      <c r="H30" s="18">
        <v>250</v>
      </c>
    </row>
    <row r="31" spans="1:8" ht="15.75">
      <c r="A31" s="9" t="s">
        <v>6</v>
      </c>
      <c r="B31" s="5" t="s">
        <v>17</v>
      </c>
      <c r="C31" s="18">
        <v>1000</v>
      </c>
      <c r="D31" s="18">
        <v>1000</v>
      </c>
      <c r="E31" s="18">
        <v>1000</v>
      </c>
      <c r="F31" s="18">
        <v>1000</v>
      </c>
      <c r="G31" s="18">
        <v>1000</v>
      </c>
      <c r="H31" s="18">
        <v>1000</v>
      </c>
    </row>
    <row r="32" spans="1:8" ht="15.75">
      <c r="B32" s="21" t="s">
        <v>23</v>
      </c>
      <c r="C32" s="18"/>
      <c r="D32" s="18"/>
      <c r="E32" s="18"/>
      <c r="F32" s="18"/>
      <c r="G32" s="18"/>
      <c r="H32" s="18"/>
    </row>
    <row r="33" spans="1:8" ht="15.75">
      <c r="A33" s="4" t="s">
        <v>5</v>
      </c>
      <c r="B33" s="5" t="s">
        <v>17</v>
      </c>
      <c r="C33" s="18">
        <v>200</v>
      </c>
      <c r="D33" s="18">
        <v>200</v>
      </c>
      <c r="E33" s="18">
        <v>200</v>
      </c>
      <c r="F33" s="18">
        <v>200</v>
      </c>
      <c r="G33" s="18">
        <v>200</v>
      </c>
      <c r="H33" s="18">
        <v>200</v>
      </c>
    </row>
    <row r="34" spans="1:8" ht="15.75">
      <c r="A34" s="9" t="s">
        <v>6</v>
      </c>
      <c r="B34" s="5" t="s">
        <v>20</v>
      </c>
      <c r="C34" s="18">
        <v>800</v>
      </c>
      <c r="D34" s="18">
        <v>800</v>
      </c>
      <c r="E34" s="18">
        <v>800</v>
      </c>
      <c r="F34" s="18">
        <v>800</v>
      </c>
      <c r="G34" s="18">
        <v>800</v>
      </c>
      <c r="H34" s="18">
        <v>800</v>
      </c>
    </row>
    <row r="35" spans="1:8" ht="15.75">
      <c r="A35" s="7"/>
      <c r="B35" s="21" t="s">
        <v>29</v>
      </c>
      <c r="C35" s="18"/>
      <c r="D35" s="18"/>
      <c r="E35" s="18"/>
      <c r="F35" s="18"/>
      <c r="G35" s="18"/>
      <c r="H35" s="18"/>
    </row>
    <row r="36" spans="1:8" ht="15.75">
      <c r="A36" s="4" t="s">
        <v>5</v>
      </c>
      <c r="B36" s="5" t="s">
        <v>21</v>
      </c>
      <c r="C36" s="18">
        <v>600</v>
      </c>
      <c r="D36" s="18">
        <v>600</v>
      </c>
      <c r="E36" s="18">
        <v>600</v>
      </c>
      <c r="F36" s="18">
        <v>600</v>
      </c>
      <c r="G36" s="18">
        <v>600</v>
      </c>
      <c r="H36" s="18">
        <v>600</v>
      </c>
    </row>
    <row r="37" spans="1:8" ht="15.75">
      <c r="A37" s="8"/>
      <c r="B37" s="21" t="s">
        <v>72</v>
      </c>
      <c r="C37" s="18"/>
      <c r="D37" s="18"/>
      <c r="E37" s="18"/>
      <c r="F37" s="18"/>
      <c r="G37" s="18"/>
      <c r="H37" s="18"/>
    </row>
    <row r="38" spans="1:8" ht="15.75">
      <c r="A38" s="4" t="s">
        <v>1</v>
      </c>
      <c r="B38" s="6" t="s">
        <v>24</v>
      </c>
      <c r="C38" s="18">
        <v>400</v>
      </c>
      <c r="D38" s="18">
        <v>400</v>
      </c>
      <c r="E38" s="18">
        <v>400</v>
      </c>
      <c r="F38" s="18">
        <v>400</v>
      </c>
      <c r="G38" s="18">
        <v>400</v>
      </c>
      <c r="H38" s="18">
        <v>400</v>
      </c>
    </row>
    <row r="39" spans="1:8" ht="15.75">
      <c r="A39" s="4" t="s">
        <v>1</v>
      </c>
      <c r="B39" s="11" t="s">
        <v>25</v>
      </c>
      <c r="C39" s="19">
        <v>0</v>
      </c>
      <c r="D39" s="19">
        <v>0</v>
      </c>
      <c r="E39" s="19">
        <v>0</v>
      </c>
      <c r="F39" s="19">
        <v>500</v>
      </c>
      <c r="G39" s="19">
        <v>500</v>
      </c>
      <c r="H39" s="19">
        <v>500</v>
      </c>
    </row>
    <row r="40" spans="1:8">
      <c r="A40" s="49" t="s">
        <v>115</v>
      </c>
      <c r="C40" s="51">
        <f>SUM(C16,C17,C24,C30,C33,C36)</f>
        <v>2700</v>
      </c>
      <c r="D40" s="51">
        <f t="shared" ref="D40:H40" si="3">SUM(D16,D17,D24,D30,D33,D36)</f>
        <v>2700</v>
      </c>
      <c r="E40" s="51">
        <f>SUM(E16,E17,E24,E30,E33,E36)</f>
        <v>2700</v>
      </c>
      <c r="F40" s="51">
        <f t="shared" si="3"/>
        <v>2700</v>
      </c>
      <c r="G40" s="51">
        <f t="shared" si="3"/>
        <v>2700</v>
      </c>
      <c r="H40" s="51">
        <f t="shared" si="3"/>
        <v>2700</v>
      </c>
    </row>
    <row r="41" spans="1:8" ht="15.75">
      <c r="A41" s="49" t="s">
        <v>118</v>
      </c>
      <c r="B41" s="5"/>
      <c r="C41" s="50">
        <f>SUM(C16,C17,C18,C24,C30,C33,C36)</f>
        <v>2700</v>
      </c>
      <c r="D41" s="50">
        <f t="shared" ref="D41:H41" si="4">SUM(D16,D17,D18,D24,D30,D33,D36)</f>
        <v>2700</v>
      </c>
      <c r="E41" s="50">
        <f>SUM(E16,E17,E18,E24,E30,E33,E36)</f>
        <v>2800</v>
      </c>
      <c r="F41" s="50">
        <f t="shared" si="4"/>
        <v>2800</v>
      </c>
      <c r="G41" s="50">
        <f t="shared" si="4"/>
        <v>2800</v>
      </c>
      <c r="H41" s="50">
        <f t="shared" si="4"/>
        <v>2800</v>
      </c>
    </row>
    <row r="42" spans="1:8" ht="15.75">
      <c r="A42" s="49" t="s">
        <v>113</v>
      </c>
      <c r="B42" s="5"/>
      <c r="C42" s="50">
        <f>SUM(C19,C26,C31)</f>
        <v>1700</v>
      </c>
      <c r="D42" s="50">
        <f t="shared" ref="D42:H42" si="5">SUM(D19,D26,D31)</f>
        <v>1700</v>
      </c>
      <c r="E42" s="50">
        <f t="shared" si="5"/>
        <v>1700</v>
      </c>
      <c r="F42" s="50">
        <f t="shared" si="5"/>
        <v>1700</v>
      </c>
      <c r="G42" s="50">
        <f t="shared" si="5"/>
        <v>1900</v>
      </c>
      <c r="H42" s="50">
        <f t="shared" si="5"/>
        <v>1900</v>
      </c>
    </row>
    <row r="43" spans="1:8" ht="15.75">
      <c r="A43" s="49" t="s">
        <v>114</v>
      </c>
      <c r="B43" s="5"/>
      <c r="C43" s="50">
        <f t="shared" ref="C43:H43" si="6">SUM(C38:C39)</f>
        <v>400</v>
      </c>
      <c r="D43" s="50">
        <f t="shared" si="6"/>
        <v>400</v>
      </c>
      <c r="E43" s="50">
        <f t="shared" si="6"/>
        <v>400</v>
      </c>
      <c r="F43" s="50">
        <f t="shared" si="6"/>
        <v>900</v>
      </c>
      <c r="G43" s="50">
        <f t="shared" si="6"/>
        <v>900</v>
      </c>
      <c r="H43" s="50">
        <f t="shared" si="6"/>
        <v>900</v>
      </c>
    </row>
    <row r="44" spans="1:8">
      <c r="C44" s="18"/>
      <c r="D44" s="18"/>
      <c r="E44" s="18"/>
      <c r="F44" s="18"/>
      <c r="G44" s="18"/>
      <c r="H44" s="18"/>
    </row>
    <row r="45" spans="1:8" ht="18">
      <c r="B45" s="23" t="s">
        <v>26</v>
      </c>
      <c r="C45" s="18"/>
      <c r="D45" s="18"/>
      <c r="E45" s="18"/>
      <c r="F45" s="18"/>
      <c r="G45" s="18"/>
      <c r="H45" s="18"/>
    </row>
    <row r="46" spans="1:8" ht="15.75">
      <c r="B46" s="3" t="s">
        <v>77</v>
      </c>
      <c r="C46" s="18">
        <v>0</v>
      </c>
      <c r="D46" s="18">
        <v>0</v>
      </c>
      <c r="E46" s="18">
        <v>0</v>
      </c>
      <c r="F46" s="18">
        <v>0</v>
      </c>
      <c r="G46" s="18">
        <v>0</v>
      </c>
      <c r="H46" s="18">
        <v>0</v>
      </c>
    </row>
    <row r="47" spans="1:8" ht="15.75">
      <c r="B47" s="3" t="s">
        <v>79</v>
      </c>
      <c r="C47" s="18">
        <f>C46/365</f>
        <v>0</v>
      </c>
      <c r="D47" s="18">
        <f t="shared" ref="D47:H47" si="7">D46/365</f>
        <v>0</v>
      </c>
      <c r="E47" s="18">
        <f t="shared" si="7"/>
        <v>0</v>
      </c>
      <c r="F47" s="18">
        <f t="shared" si="7"/>
        <v>0</v>
      </c>
      <c r="G47" s="18">
        <f t="shared" si="7"/>
        <v>0</v>
      </c>
      <c r="H47" s="18">
        <f t="shared" si="7"/>
        <v>0</v>
      </c>
    </row>
    <row r="48" spans="1:8" ht="15.75">
      <c r="B48" s="2" t="s">
        <v>80</v>
      </c>
      <c r="C48" s="18">
        <v>1400</v>
      </c>
      <c r="D48" s="18">
        <v>1400</v>
      </c>
      <c r="E48" s="18">
        <v>1350</v>
      </c>
      <c r="F48" s="18">
        <v>1350</v>
      </c>
      <c r="G48" s="18">
        <v>1400</v>
      </c>
      <c r="H48" s="18">
        <v>1450</v>
      </c>
    </row>
    <row r="49" spans="1:8" ht="15.75">
      <c r="B49" s="2" t="s">
        <v>2</v>
      </c>
      <c r="C49" s="18">
        <v>600</v>
      </c>
      <c r="D49" s="18">
        <v>600</v>
      </c>
      <c r="E49" s="18">
        <v>550</v>
      </c>
      <c r="F49" s="18">
        <v>550</v>
      </c>
      <c r="G49" s="18">
        <v>600</v>
      </c>
      <c r="H49" s="18">
        <v>600</v>
      </c>
    </row>
    <row r="50" spans="1:8" ht="15.75">
      <c r="B50" s="2" t="s">
        <v>3</v>
      </c>
      <c r="C50" s="18">
        <v>300</v>
      </c>
      <c r="D50" s="18">
        <v>350</v>
      </c>
      <c r="E50" s="18">
        <v>300</v>
      </c>
      <c r="F50" s="18">
        <v>300</v>
      </c>
      <c r="G50" s="18">
        <v>350</v>
      </c>
      <c r="H50" s="18">
        <v>350</v>
      </c>
    </row>
    <row r="51" spans="1:8" ht="15.75">
      <c r="B51" s="2" t="s">
        <v>0</v>
      </c>
      <c r="C51" s="1">
        <v>7400</v>
      </c>
      <c r="D51" s="1">
        <v>7400</v>
      </c>
      <c r="E51" s="1">
        <v>7400</v>
      </c>
      <c r="F51" s="1">
        <v>7400</v>
      </c>
      <c r="G51" s="1">
        <v>7400</v>
      </c>
      <c r="H51" s="1">
        <v>7400</v>
      </c>
    </row>
    <row r="52" spans="1:8" ht="15.75">
      <c r="B52" s="2" t="s">
        <v>83</v>
      </c>
      <c r="C52" s="24">
        <f>C51/365</f>
        <v>20.273972602739725</v>
      </c>
      <c r="D52" s="24">
        <f t="shared" ref="D52" si="8">D51/365</f>
        <v>20.273972602739725</v>
      </c>
      <c r="E52" s="24">
        <f t="shared" ref="E52" si="9">E51/365</f>
        <v>20.273972602739725</v>
      </c>
      <c r="F52" s="24">
        <f t="shared" ref="F52" si="10">F51/365</f>
        <v>20.273972602739725</v>
      </c>
      <c r="G52" s="24">
        <f t="shared" ref="G52" si="11">G51/365</f>
        <v>20.273972602739725</v>
      </c>
      <c r="H52" s="24">
        <f t="shared" ref="H52" si="12">H51/365</f>
        <v>20.273972602739725</v>
      </c>
    </row>
    <row r="53" spans="1:8" ht="15.75">
      <c r="B53" s="2" t="s">
        <v>81</v>
      </c>
      <c r="C53" s="18">
        <v>80</v>
      </c>
      <c r="D53" s="18">
        <v>80</v>
      </c>
      <c r="E53" s="18">
        <v>80</v>
      </c>
      <c r="F53" s="18">
        <v>80</v>
      </c>
      <c r="G53" s="18">
        <v>80</v>
      </c>
      <c r="H53" s="18">
        <v>80</v>
      </c>
    </row>
    <row r="54" spans="1:8" ht="15.75">
      <c r="B54" s="2" t="s">
        <v>82</v>
      </c>
      <c r="C54" s="18">
        <v>150</v>
      </c>
      <c r="D54" s="18">
        <v>150</v>
      </c>
      <c r="E54" s="18">
        <v>150</v>
      </c>
      <c r="F54" s="18">
        <v>150</v>
      </c>
      <c r="G54" s="18">
        <v>150</v>
      </c>
      <c r="H54" s="18">
        <v>150</v>
      </c>
    </row>
    <row r="55" spans="1:8" ht="15.75">
      <c r="B55" s="2" t="s">
        <v>1</v>
      </c>
      <c r="C55" s="13">
        <f>SUM(C79)</f>
        <v>450</v>
      </c>
      <c r="D55" s="13">
        <f t="shared" ref="D55:H55" si="13">SUM(D79)</f>
        <v>450</v>
      </c>
      <c r="E55" s="13">
        <f t="shared" si="13"/>
        <v>450</v>
      </c>
      <c r="F55" s="13">
        <f t="shared" si="13"/>
        <v>450</v>
      </c>
      <c r="G55" s="13">
        <f t="shared" si="13"/>
        <v>450</v>
      </c>
      <c r="H55" s="13">
        <f t="shared" si="13"/>
        <v>450</v>
      </c>
    </row>
    <row r="56" spans="1:8" ht="15.75">
      <c r="B56" s="2" t="s">
        <v>111</v>
      </c>
      <c r="C56" s="13">
        <v>4</v>
      </c>
      <c r="D56" s="13">
        <v>4</v>
      </c>
      <c r="E56" s="13">
        <v>4</v>
      </c>
      <c r="F56" s="13">
        <v>4</v>
      </c>
      <c r="G56" s="13">
        <v>4</v>
      </c>
      <c r="H56" s="13">
        <v>4</v>
      </c>
    </row>
    <row r="57" spans="1:8">
      <c r="C57" s="18"/>
      <c r="D57" s="18"/>
      <c r="E57" s="18"/>
      <c r="F57" s="18"/>
      <c r="G57" s="18"/>
      <c r="H57" s="18"/>
    </row>
    <row r="58" spans="1:8" ht="15.75">
      <c r="B58" s="21" t="s">
        <v>43</v>
      </c>
      <c r="C58" s="18"/>
      <c r="D58" s="18"/>
      <c r="E58" s="18"/>
      <c r="F58" s="18"/>
      <c r="G58" s="18"/>
      <c r="H58" s="18"/>
    </row>
    <row r="59" spans="1:8" ht="15.75">
      <c r="A59" s="4" t="s">
        <v>5</v>
      </c>
      <c r="B59" s="12" t="s">
        <v>11</v>
      </c>
      <c r="C59" s="16">
        <v>0</v>
      </c>
      <c r="D59" s="16">
        <v>0</v>
      </c>
      <c r="E59" s="16">
        <v>0</v>
      </c>
      <c r="F59" s="17">
        <v>0</v>
      </c>
      <c r="G59" s="17">
        <v>200</v>
      </c>
      <c r="H59" s="17">
        <v>200</v>
      </c>
    </row>
    <row r="60" spans="1:8" ht="15.75">
      <c r="A60" s="9" t="s">
        <v>6</v>
      </c>
      <c r="B60" s="6" t="s">
        <v>7</v>
      </c>
      <c r="C60" s="18">
        <v>600</v>
      </c>
      <c r="D60" s="18">
        <v>600</v>
      </c>
      <c r="E60" s="18">
        <v>600</v>
      </c>
      <c r="F60" s="18">
        <v>600</v>
      </c>
      <c r="G60" s="18">
        <v>600</v>
      </c>
      <c r="H60" s="18">
        <v>600</v>
      </c>
    </row>
    <row r="61" spans="1:8" ht="15.75">
      <c r="A61" s="9" t="s">
        <v>6</v>
      </c>
      <c r="B61" s="6" t="s">
        <v>8</v>
      </c>
      <c r="C61" s="18">
        <v>250</v>
      </c>
      <c r="D61" s="18">
        <v>250</v>
      </c>
      <c r="E61" s="18">
        <v>250</v>
      </c>
      <c r="F61" s="18">
        <v>250</v>
      </c>
      <c r="G61" s="18">
        <v>250</v>
      </c>
      <c r="H61" s="18">
        <v>250</v>
      </c>
    </row>
    <row r="62" spans="1:8" ht="15.75">
      <c r="A62" s="9" t="s">
        <v>6</v>
      </c>
      <c r="B62" s="10" t="s">
        <v>9</v>
      </c>
      <c r="C62" s="20">
        <v>0</v>
      </c>
      <c r="D62" s="20">
        <v>0</v>
      </c>
      <c r="E62" s="20">
        <v>100</v>
      </c>
      <c r="F62" s="20">
        <v>100</v>
      </c>
      <c r="G62" s="20">
        <v>100</v>
      </c>
      <c r="H62" s="20">
        <v>100</v>
      </c>
    </row>
    <row r="63" spans="1:8" ht="15.75">
      <c r="B63" s="21" t="s">
        <v>12</v>
      </c>
      <c r="C63" s="13"/>
      <c r="D63" s="13"/>
      <c r="E63" s="13"/>
      <c r="F63" s="13"/>
      <c r="G63" s="13"/>
      <c r="H63" s="13"/>
    </row>
    <row r="64" spans="1:8" ht="15.75">
      <c r="A64" s="9" t="s">
        <v>6</v>
      </c>
      <c r="B64" s="5" t="s">
        <v>22</v>
      </c>
      <c r="C64" s="18">
        <v>50</v>
      </c>
      <c r="D64" s="18">
        <v>50</v>
      </c>
      <c r="E64" s="18">
        <v>50</v>
      </c>
      <c r="F64" s="18">
        <v>50</v>
      </c>
      <c r="G64" s="18">
        <v>50</v>
      </c>
      <c r="H64" s="18">
        <v>50</v>
      </c>
    </row>
    <row r="65" spans="1:8" ht="15.75">
      <c r="B65" s="21" t="s">
        <v>13</v>
      </c>
      <c r="C65" s="13"/>
      <c r="D65" s="13"/>
      <c r="E65" s="13"/>
      <c r="F65" s="13"/>
      <c r="G65" s="13"/>
      <c r="H65" s="13"/>
    </row>
    <row r="66" spans="1:8" ht="15.75">
      <c r="A66" s="4" t="s">
        <v>5</v>
      </c>
      <c r="B66" s="5" t="s">
        <v>27</v>
      </c>
      <c r="C66" s="13">
        <v>450</v>
      </c>
      <c r="D66" s="13">
        <v>450</v>
      </c>
      <c r="E66" s="13">
        <v>450</v>
      </c>
      <c r="F66" s="13">
        <v>450</v>
      </c>
      <c r="G66" s="13">
        <v>450</v>
      </c>
      <c r="H66" s="13">
        <v>450</v>
      </c>
    </row>
    <row r="67" spans="1:8" ht="15.75">
      <c r="A67" s="9" t="s">
        <v>6</v>
      </c>
      <c r="B67" s="5" t="s">
        <v>28</v>
      </c>
      <c r="C67" s="13">
        <v>250</v>
      </c>
      <c r="D67" s="13">
        <v>250</v>
      </c>
      <c r="E67" s="13">
        <v>250</v>
      </c>
      <c r="F67" s="13">
        <v>250</v>
      </c>
      <c r="G67" s="13">
        <v>250</v>
      </c>
      <c r="H67" s="13">
        <v>250</v>
      </c>
    </row>
    <row r="68" spans="1:8" ht="15.75">
      <c r="B68" s="21" t="s">
        <v>31</v>
      </c>
      <c r="C68" s="13"/>
      <c r="D68" s="13"/>
      <c r="E68" s="13"/>
      <c r="F68" s="13"/>
      <c r="G68" s="13"/>
      <c r="H68" s="13"/>
    </row>
    <row r="69" spans="1:8" ht="15.75">
      <c r="A69" s="4" t="s">
        <v>5</v>
      </c>
      <c r="B69" s="5" t="s">
        <v>32</v>
      </c>
      <c r="C69" s="13">
        <v>300</v>
      </c>
      <c r="D69" s="13">
        <v>300</v>
      </c>
      <c r="E69" s="13">
        <v>300</v>
      </c>
      <c r="F69" s="13">
        <v>300</v>
      </c>
      <c r="G69" s="13">
        <v>300</v>
      </c>
      <c r="H69" s="13">
        <v>300</v>
      </c>
    </row>
    <row r="70" spans="1:8" ht="15.75">
      <c r="A70" s="4" t="s">
        <v>5</v>
      </c>
      <c r="B70" s="5" t="s">
        <v>33</v>
      </c>
      <c r="C70" s="13">
        <v>600</v>
      </c>
      <c r="D70" s="13">
        <v>600</v>
      </c>
      <c r="E70" s="13">
        <v>600</v>
      </c>
      <c r="F70" s="13">
        <v>600</v>
      </c>
      <c r="G70" s="13">
        <v>600</v>
      </c>
      <c r="H70" s="13">
        <v>600</v>
      </c>
    </row>
    <row r="71" spans="1:8" ht="15.75">
      <c r="A71" s="4" t="s">
        <v>5</v>
      </c>
      <c r="B71" s="5" t="s">
        <v>34</v>
      </c>
      <c r="C71" s="13">
        <v>400</v>
      </c>
      <c r="D71" s="13">
        <v>400</v>
      </c>
      <c r="E71" s="13">
        <v>400</v>
      </c>
      <c r="F71" s="13">
        <v>400</v>
      </c>
      <c r="G71" s="13">
        <v>400</v>
      </c>
      <c r="H71" s="13">
        <v>400</v>
      </c>
    </row>
    <row r="72" spans="1:8" ht="15.75">
      <c r="A72" s="9" t="s">
        <v>6</v>
      </c>
      <c r="B72" s="5" t="s">
        <v>35</v>
      </c>
      <c r="C72" s="13">
        <v>350</v>
      </c>
      <c r="D72" s="13">
        <v>350</v>
      </c>
      <c r="E72" s="13">
        <v>350</v>
      </c>
      <c r="F72" s="13">
        <v>350</v>
      </c>
      <c r="G72" s="13">
        <v>350</v>
      </c>
      <c r="H72" s="13">
        <v>350</v>
      </c>
    </row>
    <row r="73" spans="1:8" ht="15.75">
      <c r="B73" s="21" t="s">
        <v>39</v>
      </c>
      <c r="C73" s="13"/>
      <c r="D73" s="13"/>
      <c r="E73" s="13"/>
      <c r="F73" s="13"/>
      <c r="G73" s="13"/>
      <c r="H73" s="13"/>
    </row>
    <row r="74" spans="1:8" ht="15.75">
      <c r="A74" s="4" t="s">
        <v>5</v>
      </c>
      <c r="B74" s="5" t="s">
        <v>36</v>
      </c>
      <c r="C74" s="13">
        <v>600</v>
      </c>
      <c r="D74" s="13">
        <v>600</v>
      </c>
      <c r="E74" s="13">
        <v>600</v>
      </c>
      <c r="F74" s="13">
        <v>600</v>
      </c>
      <c r="G74" s="13">
        <v>600</v>
      </c>
      <c r="H74" s="13">
        <v>600</v>
      </c>
    </row>
    <row r="75" spans="1:8" ht="15.75">
      <c r="A75" s="9" t="s">
        <v>6</v>
      </c>
      <c r="B75" s="5" t="s">
        <v>37</v>
      </c>
      <c r="C75" s="13">
        <v>800</v>
      </c>
      <c r="D75" s="13">
        <v>800</v>
      </c>
      <c r="E75" s="13">
        <v>800</v>
      </c>
      <c r="F75" s="13">
        <v>800</v>
      </c>
      <c r="G75" s="13">
        <v>800</v>
      </c>
      <c r="H75" s="13">
        <v>800</v>
      </c>
    </row>
    <row r="76" spans="1:8" ht="15.75">
      <c r="B76" s="21" t="s">
        <v>29</v>
      </c>
      <c r="C76" s="13"/>
      <c r="D76" s="13"/>
      <c r="E76" s="13"/>
      <c r="F76" s="13"/>
      <c r="G76" s="13"/>
      <c r="H76" s="13"/>
    </row>
    <row r="77" spans="1:8" ht="15.75">
      <c r="A77" s="4" t="s">
        <v>5</v>
      </c>
      <c r="B77" s="5" t="s">
        <v>38</v>
      </c>
      <c r="C77" s="13">
        <v>500</v>
      </c>
      <c r="D77" s="13">
        <v>500</v>
      </c>
      <c r="E77" s="13">
        <v>500</v>
      </c>
      <c r="F77" s="13">
        <v>500</v>
      </c>
      <c r="G77" s="13">
        <v>500</v>
      </c>
      <c r="H77" s="13">
        <v>500</v>
      </c>
    </row>
    <row r="78" spans="1:8" ht="15.75">
      <c r="B78" s="21" t="s">
        <v>72</v>
      </c>
      <c r="C78" s="13"/>
      <c r="D78" s="13"/>
      <c r="E78" s="13"/>
      <c r="F78" s="13"/>
      <c r="G78" s="13"/>
      <c r="H78" s="13"/>
    </row>
    <row r="79" spans="1:8" ht="15.75">
      <c r="A79" s="4" t="s">
        <v>5</v>
      </c>
      <c r="B79" s="5" t="s">
        <v>24</v>
      </c>
      <c r="C79" s="13">
        <v>450</v>
      </c>
      <c r="D79" s="13">
        <v>450</v>
      </c>
      <c r="E79" s="13">
        <v>450</v>
      </c>
      <c r="F79" s="13">
        <v>450</v>
      </c>
      <c r="G79" s="13">
        <v>450</v>
      </c>
      <c r="H79" s="13">
        <v>450</v>
      </c>
    </row>
    <row r="80" spans="1:8" ht="15.75">
      <c r="A80" s="49" t="s">
        <v>112</v>
      </c>
      <c r="B80" s="5"/>
      <c r="C80" s="13">
        <f>SUM(C59,C66,C69,C70,C71,C74,C77)</f>
        <v>2850</v>
      </c>
      <c r="D80" s="13">
        <f t="shared" ref="D80:H80" si="14">SUM(D59,D66,D69,D70,D71,D74,D77)</f>
        <v>2850</v>
      </c>
      <c r="E80" s="13">
        <f t="shared" si="14"/>
        <v>2850</v>
      </c>
      <c r="F80" s="13">
        <f t="shared" si="14"/>
        <v>2850</v>
      </c>
      <c r="G80" s="13">
        <f t="shared" si="14"/>
        <v>3050</v>
      </c>
      <c r="H80" s="13">
        <f t="shared" si="14"/>
        <v>3050</v>
      </c>
    </row>
    <row r="81" spans="1:8" ht="15.75">
      <c r="A81" s="49" t="s">
        <v>113</v>
      </c>
      <c r="B81" s="5"/>
      <c r="C81" s="13">
        <f>SUM(C60,C61,C62,C64,C67,C72,C75)</f>
        <v>2300</v>
      </c>
      <c r="D81" s="13">
        <f t="shared" ref="D81:H81" si="15">SUM(D60,D61,D62,D64,D67,D72,D75)</f>
        <v>2300</v>
      </c>
      <c r="E81" s="13">
        <f t="shared" si="15"/>
        <v>2400</v>
      </c>
      <c r="F81" s="13">
        <f t="shared" si="15"/>
        <v>2400</v>
      </c>
      <c r="G81" s="13">
        <f t="shared" si="15"/>
        <v>2400</v>
      </c>
      <c r="H81" s="13">
        <f t="shared" si="15"/>
        <v>2400</v>
      </c>
    </row>
    <row r="82" spans="1:8" ht="15.75">
      <c r="A82" s="49" t="s">
        <v>114</v>
      </c>
      <c r="B82" s="5"/>
      <c r="C82" s="13">
        <f>C79</f>
        <v>450</v>
      </c>
      <c r="D82" s="13">
        <f t="shared" ref="D82:H82" si="16">D79</f>
        <v>450</v>
      </c>
      <c r="E82" s="13">
        <f t="shared" si="16"/>
        <v>450</v>
      </c>
      <c r="F82" s="13">
        <f t="shared" si="16"/>
        <v>450</v>
      </c>
      <c r="G82" s="13">
        <f t="shared" si="16"/>
        <v>450</v>
      </c>
      <c r="H82" s="13">
        <f t="shared" si="16"/>
        <v>450</v>
      </c>
    </row>
    <row r="83" spans="1:8">
      <c r="C83" s="13"/>
      <c r="D83" s="13"/>
      <c r="E83" s="13"/>
      <c r="F83" s="13"/>
      <c r="G83" s="13"/>
      <c r="H83" s="13"/>
    </row>
    <row r="84" spans="1:8" ht="18">
      <c r="B84" s="23" t="s">
        <v>42</v>
      </c>
      <c r="C84" s="13"/>
      <c r="D84" s="13"/>
      <c r="E84" s="13"/>
      <c r="F84" s="13"/>
      <c r="G84" s="13"/>
      <c r="H84" s="13"/>
    </row>
    <row r="85" spans="1:8" ht="15.75">
      <c r="B85" s="3" t="s">
        <v>77</v>
      </c>
      <c r="C85" s="13">
        <v>50</v>
      </c>
      <c r="D85" s="13">
        <v>50</v>
      </c>
      <c r="E85" s="13">
        <v>50</v>
      </c>
      <c r="F85" s="13">
        <v>50</v>
      </c>
      <c r="G85" s="13">
        <v>50</v>
      </c>
      <c r="H85" s="13">
        <v>50</v>
      </c>
    </row>
    <row r="86" spans="1:8" ht="15.75">
      <c r="B86" s="3" t="s">
        <v>79</v>
      </c>
      <c r="C86" s="18">
        <f>C85/365</f>
        <v>0.13698630136986301</v>
      </c>
      <c r="D86" s="18">
        <f t="shared" ref="D86:H86" si="17">D85/365</f>
        <v>0.13698630136986301</v>
      </c>
      <c r="E86" s="18">
        <f t="shared" si="17"/>
        <v>0.13698630136986301</v>
      </c>
      <c r="F86" s="18">
        <f t="shared" si="17"/>
        <v>0.13698630136986301</v>
      </c>
      <c r="G86" s="18">
        <f t="shared" si="17"/>
        <v>0.13698630136986301</v>
      </c>
      <c r="H86" s="18">
        <f t="shared" si="17"/>
        <v>0.13698630136986301</v>
      </c>
    </row>
    <row r="87" spans="1:8" ht="15.75">
      <c r="B87" s="2" t="s">
        <v>80</v>
      </c>
      <c r="C87" s="13">
        <v>70</v>
      </c>
      <c r="D87" s="13">
        <v>70</v>
      </c>
      <c r="E87" s="13">
        <v>70</v>
      </c>
      <c r="F87" s="13">
        <v>70</v>
      </c>
      <c r="G87" s="13">
        <v>70</v>
      </c>
      <c r="H87" s="13">
        <v>70</v>
      </c>
    </row>
    <row r="88" spans="1:8" ht="15.75">
      <c r="B88" s="2" t="s">
        <v>2</v>
      </c>
      <c r="C88" s="13">
        <v>40</v>
      </c>
      <c r="D88" s="13">
        <v>40</v>
      </c>
      <c r="E88" s="13">
        <v>40</v>
      </c>
      <c r="F88" s="13">
        <v>40</v>
      </c>
      <c r="G88" s="13">
        <v>40</v>
      </c>
      <c r="H88" s="13">
        <v>40</v>
      </c>
    </row>
    <row r="89" spans="1:8" ht="15.75">
      <c r="B89" s="2" t="s">
        <v>3</v>
      </c>
      <c r="C89" s="13">
        <v>30</v>
      </c>
      <c r="D89" s="13">
        <v>30</v>
      </c>
      <c r="E89" s="13">
        <v>30</v>
      </c>
      <c r="F89" s="13">
        <v>30</v>
      </c>
      <c r="G89" s="13">
        <v>30</v>
      </c>
      <c r="H89" s="13">
        <v>30</v>
      </c>
    </row>
    <row r="90" spans="1:8" ht="15.75">
      <c r="B90" s="2" t="s">
        <v>0</v>
      </c>
      <c r="C90" s="13">
        <v>0</v>
      </c>
      <c r="D90" s="13">
        <v>0</v>
      </c>
      <c r="E90" s="13">
        <v>0</v>
      </c>
      <c r="F90" s="13">
        <v>0</v>
      </c>
      <c r="G90" s="13">
        <v>0</v>
      </c>
      <c r="H90" s="13">
        <v>0</v>
      </c>
    </row>
    <row r="91" spans="1:8" ht="15.75">
      <c r="B91" s="2" t="s">
        <v>83</v>
      </c>
      <c r="C91" s="13">
        <f>C90/365</f>
        <v>0</v>
      </c>
      <c r="D91" s="13">
        <f t="shared" ref="D91" si="18">D90/365</f>
        <v>0</v>
      </c>
      <c r="E91" s="13">
        <f t="shared" ref="E91" si="19">E90/365</f>
        <v>0</v>
      </c>
      <c r="F91" s="13">
        <f t="shared" ref="F91" si="20">F90/365</f>
        <v>0</v>
      </c>
      <c r="G91" s="13">
        <f t="shared" ref="G91" si="21">G90/365</f>
        <v>0</v>
      </c>
      <c r="H91" s="13">
        <f t="shared" ref="H91" si="22">H90/365</f>
        <v>0</v>
      </c>
    </row>
    <row r="92" spans="1:8" ht="15.75">
      <c r="B92" s="2" t="s">
        <v>81</v>
      </c>
      <c r="C92" s="13">
        <v>0</v>
      </c>
      <c r="D92" s="13">
        <v>0</v>
      </c>
      <c r="E92" s="13">
        <v>0</v>
      </c>
      <c r="F92" s="13">
        <v>0</v>
      </c>
      <c r="G92" s="13">
        <v>0</v>
      </c>
      <c r="H92" s="13">
        <v>0</v>
      </c>
    </row>
    <row r="93" spans="1:8" ht="15.75">
      <c r="B93" s="2" t="s">
        <v>82</v>
      </c>
      <c r="C93" s="13">
        <v>0</v>
      </c>
      <c r="D93" s="13">
        <v>0</v>
      </c>
      <c r="E93" s="13">
        <v>0</v>
      </c>
      <c r="F93" s="13">
        <v>0</v>
      </c>
      <c r="G93" s="13">
        <v>0</v>
      </c>
      <c r="H93" s="13">
        <v>0</v>
      </c>
    </row>
    <row r="94" spans="1:8" ht="15.75">
      <c r="B94" s="2" t="s">
        <v>1</v>
      </c>
      <c r="C94" s="13">
        <v>0</v>
      </c>
      <c r="D94" s="13">
        <v>0</v>
      </c>
      <c r="E94" s="13">
        <v>0</v>
      </c>
      <c r="F94" s="13">
        <v>0</v>
      </c>
      <c r="G94" s="13">
        <v>0</v>
      </c>
      <c r="H94" s="13">
        <v>0</v>
      </c>
    </row>
    <row r="95" spans="1:8" ht="15.75">
      <c r="B95" s="2" t="s">
        <v>111</v>
      </c>
      <c r="C95" s="13">
        <v>2</v>
      </c>
      <c r="D95" s="13">
        <v>2</v>
      </c>
      <c r="E95" s="13">
        <v>2</v>
      </c>
      <c r="F95" s="13">
        <v>2</v>
      </c>
      <c r="G95" s="13">
        <v>2</v>
      </c>
      <c r="H95" s="13">
        <v>2</v>
      </c>
    </row>
    <row r="96" spans="1:8">
      <c r="C96" s="13"/>
      <c r="D96" s="13"/>
      <c r="E96" s="13"/>
      <c r="F96" s="13"/>
      <c r="G96" s="13"/>
      <c r="H96" s="13"/>
    </row>
    <row r="97" spans="1:8" ht="15.75">
      <c r="B97" s="21" t="s">
        <v>43</v>
      </c>
      <c r="C97" s="13"/>
      <c r="D97" s="13"/>
      <c r="E97" s="13"/>
      <c r="F97" s="13"/>
      <c r="G97" s="13"/>
      <c r="H97" s="13"/>
    </row>
    <row r="98" spans="1:8">
      <c r="A98" s="8"/>
      <c r="C98" s="13" t="s">
        <v>18</v>
      </c>
      <c r="D98" s="13" t="s">
        <v>18</v>
      </c>
      <c r="E98" s="13" t="s">
        <v>18</v>
      </c>
      <c r="F98" s="13" t="s">
        <v>18</v>
      </c>
      <c r="G98" s="13" t="s">
        <v>18</v>
      </c>
      <c r="H98" s="13" t="s">
        <v>18</v>
      </c>
    </row>
    <row r="99" spans="1:8">
      <c r="C99" s="13"/>
      <c r="D99" s="13"/>
      <c r="E99" s="13"/>
      <c r="F99" s="13"/>
      <c r="G99" s="13"/>
      <c r="H99" s="13"/>
    </row>
    <row r="100" spans="1:8" ht="15.75">
      <c r="B100" s="21" t="s">
        <v>4</v>
      </c>
      <c r="C100" s="13"/>
      <c r="D100" s="13"/>
      <c r="E100" s="13"/>
      <c r="F100" s="13"/>
      <c r="G100" s="13"/>
      <c r="H100" s="13"/>
    </row>
    <row r="101" spans="1:8" ht="15.75">
      <c r="A101" s="4" t="s">
        <v>5</v>
      </c>
      <c r="B101" s="5" t="s">
        <v>22</v>
      </c>
      <c r="C101" s="13">
        <v>50</v>
      </c>
      <c r="D101" s="13">
        <v>50</v>
      </c>
      <c r="E101" s="13">
        <v>50</v>
      </c>
      <c r="F101" s="13">
        <v>50</v>
      </c>
      <c r="G101" s="13">
        <v>50</v>
      </c>
      <c r="H101" s="13">
        <v>50</v>
      </c>
    </row>
    <row r="102" spans="1:8" ht="15.75">
      <c r="B102" s="21" t="s">
        <v>13</v>
      </c>
      <c r="C102" s="13"/>
      <c r="D102" s="13"/>
      <c r="E102" s="13"/>
      <c r="F102" s="13"/>
      <c r="G102" s="13"/>
      <c r="H102" s="13"/>
    </row>
    <row r="103" spans="1:8" ht="15.75">
      <c r="A103" s="4" t="s">
        <v>5</v>
      </c>
      <c r="B103" s="5" t="s">
        <v>40</v>
      </c>
      <c r="C103" s="13">
        <v>50</v>
      </c>
      <c r="D103" s="13">
        <v>50</v>
      </c>
      <c r="E103" s="13">
        <v>50</v>
      </c>
      <c r="F103" s="13">
        <v>50</v>
      </c>
      <c r="G103" s="13">
        <v>50</v>
      </c>
      <c r="H103" s="13">
        <v>50</v>
      </c>
    </row>
    <row r="104" spans="1:8" ht="15.75">
      <c r="A104" s="49" t="s">
        <v>112</v>
      </c>
      <c r="B104" s="5"/>
      <c r="C104" s="13">
        <f>SUM(C101,C103)</f>
        <v>100</v>
      </c>
      <c r="D104" s="13">
        <f t="shared" ref="D104:H104" si="23">SUM(D101,D103)</f>
        <v>100</v>
      </c>
      <c r="E104" s="13">
        <f t="shared" si="23"/>
        <v>100</v>
      </c>
      <c r="F104" s="13">
        <f t="shared" si="23"/>
        <v>100</v>
      </c>
      <c r="G104" s="13">
        <f t="shared" si="23"/>
        <v>100</v>
      </c>
      <c r="H104" s="13">
        <f t="shared" si="23"/>
        <v>100</v>
      </c>
    </row>
    <row r="105" spans="1:8" ht="15.75">
      <c r="A105" s="49" t="s">
        <v>113</v>
      </c>
      <c r="B105" s="5"/>
      <c r="C105" s="13">
        <v>0</v>
      </c>
      <c r="D105" s="13">
        <v>0</v>
      </c>
      <c r="E105" s="13">
        <v>0</v>
      </c>
      <c r="F105" s="13">
        <v>0</v>
      </c>
      <c r="G105" s="13">
        <v>0</v>
      </c>
      <c r="H105" s="13">
        <v>0</v>
      </c>
    </row>
    <row r="106" spans="1:8" ht="15.75">
      <c r="A106" s="49" t="s">
        <v>114</v>
      </c>
      <c r="B106" s="5"/>
      <c r="C106" s="13">
        <v>0</v>
      </c>
      <c r="D106" s="13">
        <v>0</v>
      </c>
      <c r="E106" s="13">
        <v>0</v>
      </c>
      <c r="F106" s="13">
        <v>0</v>
      </c>
      <c r="G106" s="13">
        <v>0</v>
      </c>
      <c r="H106" s="13">
        <v>0</v>
      </c>
    </row>
    <row r="107" spans="1:8">
      <c r="C107" s="13"/>
      <c r="D107" s="13"/>
      <c r="E107" s="13"/>
      <c r="F107" s="13"/>
      <c r="G107" s="13"/>
      <c r="H107" s="13"/>
    </row>
    <row r="108" spans="1:8" ht="18">
      <c r="B108" s="23" t="s">
        <v>44</v>
      </c>
      <c r="C108" s="13"/>
      <c r="D108" s="13"/>
      <c r="E108" s="13"/>
      <c r="F108" s="13"/>
      <c r="G108" s="13"/>
      <c r="H108" s="13"/>
    </row>
    <row r="109" spans="1:8" ht="15.75">
      <c r="B109" s="3" t="s">
        <v>77</v>
      </c>
      <c r="C109" s="13">
        <v>19800</v>
      </c>
      <c r="D109" s="13">
        <v>19800</v>
      </c>
      <c r="E109" s="13">
        <v>19000</v>
      </c>
      <c r="F109" s="13">
        <v>19200</v>
      </c>
      <c r="G109" s="13">
        <v>18800</v>
      </c>
      <c r="H109" s="13">
        <v>17800</v>
      </c>
    </row>
    <row r="110" spans="1:8" ht="15.75">
      <c r="B110" s="3" t="s">
        <v>79</v>
      </c>
      <c r="C110" s="18">
        <f>C109/365</f>
        <v>54.246575342465754</v>
      </c>
      <c r="D110" s="18">
        <f t="shared" ref="D110:H110" si="24">D109/365</f>
        <v>54.246575342465754</v>
      </c>
      <c r="E110" s="18">
        <f t="shared" si="24"/>
        <v>52.054794520547944</v>
      </c>
      <c r="F110" s="18">
        <f t="shared" si="24"/>
        <v>52.602739726027394</v>
      </c>
      <c r="G110" s="18">
        <f t="shared" si="24"/>
        <v>51.506849315068493</v>
      </c>
      <c r="H110" s="18">
        <f t="shared" si="24"/>
        <v>48.767123287671232</v>
      </c>
    </row>
    <row r="111" spans="1:8" ht="15.75">
      <c r="B111" s="2" t="s">
        <v>80</v>
      </c>
      <c r="C111" s="13">
        <v>5150</v>
      </c>
      <c r="D111" s="13">
        <v>5050</v>
      </c>
      <c r="E111" s="13">
        <v>4900</v>
      </c>
      <c r="F111" s="13">
        <v>4900</v>
      </c>
      <c r="G111" s="13">
        <v>4850</v>
      </c>
      <c r="H111" s="13">
        <v>4850</v>
      </c>
    </row>
    <row r="112" spans="1:8" ht="15.75">
      <c r="B112" s="2" t="s">
        <v>2</v>
      </c>
      <c r="C112" s="13">
        <v>3200</v>
      </c>
      <c r="D112" s="13">
        <v>3150</v>
      </c>
      <c r="E112" s="13">
        <v>3050</v>
      </c>
      <c r="F112" s="13">
        <v>3000</v>
      </c>
      <c r="G112" s="13">
        <v>3000</v>
      </c>
      <c r="H112" s="13">
        <v>3000</v>
      </c>
    </row>
    <row r="113" spans="1:8" ht="15.75">
      <c r="B113" s="2" t="s">
        <v>3</v>
      </c>
      <c r="C113" s="13">
        <v>1650</v>
      </c>
      <c r="D113" s="13">
        <v>1600</v>
      </c>
      <c r="E113" s="13">
        <v>1550</v>
      </c>
      <c r="F113" s="13">
        <v>1550</v>
      </c>
      <c r="G113" s="13">
        <v>1550</v>
      </c>
      <c r="H113" s="13">
        <v>1550</v>
      </c>
    </row>
    <row r="114" spans="1:8" ht="15.75">
      <c r="B114" s="2" t="s">
        <v>0</v>
      </c>
      <c r="C114" s="1">
        <v>230000</v>
      </c>
      <c r="D114" s="1">
        <v>230000</v>
      </c>
      <c r="E114" s="1">
        <v>230000</v>
      </c>
      <c r="F114" s="1">
        <v>230000</v>
      </c>
      <c r="G114" s="1">
        <v>230000</v>
      </c>
      <c r="H114" s="1">
        <v>230000</v>
      </c>
    </row>
    <row r="115" spans="1:8" ht="15.75">
      <c r="B115" s="2" t="s">
        <v>83</v>
      </c>
      <c r="C115" s="24">
        <f>C114/365</f>
        <v>630.13698630136992</v>
      </c>
      <c r="D115" s="24">
        <f t="shared" ref="D115" si="25">D114/365</f>
        <v>630.13698630136992</v>
      </c>
      <c r="E115" s="24">
        <f t="shared" ref="E115" si="26">E114/365</f>
        <v>630.13698630136992</v>
      </c>
      <c r="F115" s="24">
        <f t="shared" ref="F115" si="27">F114/365</f>
        <v>630.13698630136992</v>
      </c>
      <c r="G115" s="24">
        <f t="shared" ref="G115" si="28">G114/365</f>
        <v>630.13698630136992</v>
      </c>
      <c r="H115" s="24">
        <f t="shared" ref="H115" si="29">H114/365</f>
        <v>630.13698630136992</v>
      </c>
    </row>
    <row r="116" spans="1:8" ht="15.75">
      <c r="B116" s="2" t="s">
        <v>81</v>
      </c>
      <c r="C116" s="13">
        <v>3100</v>
      </c>
      <c r="D116" s="13">
        <v>3100</v>
      </c>
      <c r="E116" s="13">
        <v>3100</v>
      </c>
      <c r="F116" s="13">
        <v>3100</v>
      </c>
      <c r="G116" s="13">
        <v>3100</v>
      </c>
      <c r="H116" s="13">
        <v>3100</v>
      </c>
    </row>
    <row r="117" spans="1:8" ht="15.75">
      <c r="B117" s="2" t="s">
        <v>82</v>
      </c>
      <c r="C117" s="1">
        <v>5650</v>
      </c>
      <c r="D117" s="1">
        <v>5650</v>
      </c>
      <c r="E117" s="1">
        <v>5650</v>
      </c>
      <c r="F117" s="1">
        <v>5650</v>
      </c>
      <c r="G117" s="1">
        <v>5650</v>
      </c>
      <c r="H117" s="1">
        <v>5650</v>
      </c>
    </row>
    <row r="118" spans="1:8" ht="15.75">
      <c r="B118" s="2" t="s">
        <v>1</v>
      </c>
      <c r="C118" s="13">
        <v>0</v>
      </c>
      <c r="D118" s="13">
        <v>0</v>
      </c>
      <c r="E118" s="13">
        <v>0</v>
      </c>
      <c r="F118" s="13">
        <v>0</v>
      </c>
      <c r="G118" s="13">
        <v>0</v>
      </c>
      <c r="H118" s="13">
        <v>0</v>
      </c>
    </row>
    <row r="119" spans="1:8" ht="15.75">
      <c r="B119" s="2" t="s">
        <v>111</v>
      </c>
      <c r="C119" s="13">
        <v>8</v>
      </c>
      <c r="D119" s="13">
        <v>8</v>
      </c>
      <c r="E119" s="13">
        <v>8</v>
      </c>
      <c r="F119" s="13">
        <v>8</v>
      </c>
      <c r="G119" s="13">
        <v>8</v>
      </c>
      <c r="H119" s="13">
        <v>8</v>
      </c>
    </row>
    <row r="120" spans="1:8">
      <c r="C120" s="13"/>
      <c r="D120" s="13"/>
      <c r="E120" s="13"/>
      <c r="F120" s="13"/>
      <c r="G120" s="13"/>
      <c r="H120" s="13"/>
    </row>
    <row r="121" spans="1:8" ht="15.75">
      <c r="B121" s="21" t="s">
        <v>43</v>
      </c>
      <c r="C121" s="13"/>
      <c r="D121" s="13"/>
      <c r="E121" s="13"/>
      <c r="F121" s="13"/>
      <c r="G121" s="13"/>
      <c r="H121" s="13"/>
    </row>
    <row r="122" spans="1:8" ht="15.75">
      <c r="A122" s="9" t="s">
        <v>6</v>
      </c>
      <c r="B122" s="2" t="s">
        <v>10</v>
      </c>
      <c r="C122" s="13">
        <v>800</v>
      </c>
      <c r="D122" s="13">
        <v>800</v>
      </c>
      <c r="E122" s="13">
        <v>800</v>
      </c>
      <c r="F122" s="13">
        <v>800</v>
      </c>
      <c r="G122" s="13">
        <v>800</v>
      </c>
      <c r="H122" s="13">
        <v>800</v>
      </c>
    </row>
    <row r="123" spans="1:8" ht="15.75">
      <c r="B123" s="21" t="s">
        <v>4</v>
      </c>
      <c r="C123" s="13"/>
      <c r="D123" s="13"/>
      <c r="E123" s="13"/>
      <c r="F123" s="13"/>
      <c r="G123" s="13"/>
      <c r="H123" s="13"/>
    </row>
    <row r="124" spans="1:8" ht="15.75">
      <c r="A124" s="4" t="s">
        <v>5</v>
      </c>
      <c r="B124" s="2" t="s">
        <v>28</v>
      </c>
      <c r="C124" s="13">
        <v>250</v>
      </c>
      <c r="D124" s="13">
        <v>250</v>
      </c>
      <c r="E124" s="13">
        <v>250</v>
      </c>
      <c r="F124" s="13">
        <v>250</v>
      </c>
      <c r="G124" s="13">
        <v>250</v>
      </c>
      <c r="H124" s="13">
        <v>250</v>
      </c>
    </row>
    <row r="125" spans="1:8" ht="15.75">
      <c r="A125" s="9" t="s">
        <v>6</v>
      </c>
      <c r="B125" s="2" t="s">
        <v>27</v>
      </c>
      <c r="C125" s="13">
        <v>450</v>
      </c>
      <c r="D125" s="13">
        <v>450</v>
      </c>
      <c r="E125" s="13">
        <v>450</v>
      </c>
      <c r="F125" s="13">
        <v>450</v>
      </c>
      <c r="G125" s="13">
        <v>450</v>
      </c>
      <c r="H125" s="13">
        <v>450</v>
      </c>
    </row>
    <row r="126" spans="1:8" ht="15.75">
      <c r="B126" s="21" t="s">
        <v>12</v>
      </c>
      <c r="C126" s="13"/>
      <c r="D126" s="13"/>
      <c r="E126" s="13"/>
      <c r="F126" s="13"/>
      <c r="G126" s="13"/>
      <c r="H126" s="13"/>
    </row>
    <row r="127" spans="1:8" ht="15.75">
      <c r="A127" s="9" t="s">
        <v>6</v>
      </c>
      <c r="B127" s="5" t="s">
        <v>40</v>
      </c>
      <c r="C127" s="13">
        <v>50</v>
      </c>
      <c r="D127" s="13">
        <v>50</v>
      </c>
      <c r="E127" s="13">
        <v>50</v>
      </c>
      <c r="F127" s="13">
        <v>50</v>
      </c>
      <c r="G127" s="13">
        <v>50</v>
      </c>
      <c r="H127" s="13">
        <v>50</v>
      </c>
    </row>
    <row r="128" spans="1:8" ht="15.75">
      <c r="B128" s="21" t="s">
        <v>14</v>
      </c>
      <c r="C128" s="13"/>
      <c r="D128" s="13"/>
      <c r="E128" s="13"/>
      <c r="F128" s="13"/>
      <c r="G128" s="13"/>
      <c r="H128" s="13"/>
    </row>
    <row r="129" spans="1:8" ht="15.75">
      <c r="A129" s="9" t="s">
        <v>6</v>
      </c>
      <c r="B129" s="5" t="s">
        <v>45</v>
      </c>
      <c r="C129" s="13">
        <v>600</v>
      </c>
      <c r="D129" s="13">
        <v>600</v>
      </c>
      <c r="E129" s="13">
        <v>600</v>
      </c>
      <c r="F129" s="13">
        <v>600</v>
      </c>
      <c r="G129" s="13">
        <v>600</v>
      </c>
      <c r="H129" s="13">
        <v>600</v>
      </c>
    </row>
    <row r="130" spans="1:8" ht="15.75">
      <c r="B130" s="21" t="s">
        <v>31</v>
      </c>
      <c r="C130" s="13"/>
      <c r="D130" s="13"/>
      <c r="E130" s="13"/>
      <c r="F130" s="13"/>
      <c r="G130" s="13"/>
      <c r="H130" s="13"/>
    </row>
    <row r="131" spans="1:8" ht="15.75">
      <c r="A131" s="4" t="s">
        <v>5</v>
      </c>
      <c r="B131" s="5" t="s">
        <v>46</v>
      </c>
      <c r="C131" s="13">
        <v>450</v>
      </c>
      <c r="D131" s="13">
        <v>450</v>
      </c>
      <c r="E131" s="13">
        <v>450</v>
      </c>
      <c r="F131" s="13">
        <v>450</v>
      </c>
      <c r="G131" s="13">
        <v>450</v>
      </c>
      <c r="H131" s="13">
        <v>450</v>
      </c>
    </row>
    <row r="132" spans="1:8" ht="15.75">
      <c r="A132" s="4" t="s">
        <v>5</v>
      </c>
      <c r="B132" s="5" t="s">
        <v>47</v>
      </c>
      <c r="C132" s="13">
        <v>500</v>
      </c>
      <c r="D132" s="13">
        <v>500</v>
      </c>
      <c r="E132" s="13">
        <v>500</v>
      </c>
      <c r="F132" s="13">
        <v>500</v>
      </c>
      <c r="G132" s="13">
        <v>500</v>
      </c>
      <c r="H132" s="13">
        <v>500</v>
      </c>
    </row>
    <row r="133" spans="1:8" ht="15.75">
      <c r="A133" s="4" t="s">
        <v>5</v>
      </c>
      <c r="B133" s="5" t="s">
        <v>48</v>
      </c>
      <c r="C133" s="13">
        <v>200</v>
      </c>
      <c r="D133" s="13">
        <v>200</v>
      </c>
      <c r="E133" s="13">
        <v>200</v>
      </c>
      <c r="F133" s="13">
        <v>200</v>
      </c>
      <c r="G133" s="13">
        <v>200</v>
      </c>
      <c r="H133" s="13">
        <v>200</v>
      </c>
    </row>
    <row r="134" spans="1:8" ht="15.75">
      <c r="A134" s="4" t="s">
        <v>5</v>
      </c>
      <c r="B134" s="5" t="s">
        <v>49</v>
      </c>
      <c r="C134" s="13">
        <v>450</v>
      </c>
      <c r="D134" s="13">
        <v>450</v>
      </c>
      <c r="E134" s="13">
        <v>450</v>
      </c>
      <c r="F134" s="13">
        <v>450</v>
      </c>
      <c r="G134" s="13">
        <v>450</v>
      </c>
      <c r="H134" s="13">
        <v>450</v>
      </c>
    </row>
    <row r="135" spans="1:8" ht="15.75">
      <c r="A135" s="9" t="s">
        <v>6</v>
      </c>
      <c r="B135" s="5" t="s">
        <v>51</v>
      </c>
      <c r="C135" s="13">
        <v>350</v>
      </c>
      <c r="D135" s="13">
        <v>350</v>
      </c>
      <c r="E135" s="13">
        <v>350</v>
      </c>
      <c r="F135" s="13">
        <v>350</v>
      </c>
      <c r="G135" s="13">
        <v>350</v>
      </c>
      <c r="H135" s="13">
        <v>350</v>
      </c>
    </row>
    <row r="136" spans="1:8" ht="15.75">
      <c r="B136" s="21" t="s">
        <v>50</v>
      </c>
      <c r="C136" s="13"/>
      <c r="D136" s="13"/>
      <c r="E136" s="13"/>
      <c r="F136" s="13"/>
      <c r="G136" s="13"/>
      <c r="H136" s="13"/>
    </row>
    <row r="137" spans="1:8" ht="15.75">
      <c r="A137" s="4" t="s">
        <v>5</v>
      </c>
      <c r="B137" s="5" t="s">
        <v>52</v>
      </c>
      <c r="C137" s="13">
        <v>40</v>
      </c>
      <c r="D137" s="13">
        <v>40</v>
      </c>
      <c r="E137" s="13">
        <v>40</v>
      </c>
      <c r="F137" s="13">
        <v>40</v>
      </c>
      <c r="G137" s="13">
        <v>40</v>
      </c>
      <c r="H137" s="13">
        <v>40</v>
      </c>
    </row>
    <row r="138" spans="1:8" ht="15.75">
      <c r="A138" s="9" t="s">
        <v>6</v>
      </c>
      <c r="B138" s="12" t="s">
        <v>53</v>
      </c>
      <c r="C138" s="19">
        <v>30</v>
      </c>
      <c r="D138" s="19">
        <v>30</v>
      </c>
      <c r="E138" s="19">
        <v>100</v>
      </c>
      <c r="F138" s="19">
        <v>100</v>
      </c>
      <c r="G138" s="19">
        <v>100</v>
      </c>
      <c r="H138" s="19">
        <v>100</v>
      </c>
    </row>
    <row r="139" spans="1:8" ht="15.75">
      <c r="A139" s="4" t="s">
        <v>5</v>
      </c>
      <c r="B139" s="5" t="s">
        <v>54</v>
      </c>
      <c r="C139" s="13">
        <v>500</v>
      </c>
      <c r="D139" s="13">
        <v>500</v>
      </c>
      <c r="E139" s="13">
        <v>500</v>
      </c>
      <c r="F139" s="13">
        <v>500</v>
      </c>
      <c r="G139" s="13">
        <v>500</v>
      </c>
      <c r="H139" s="13">
        <v>500</v>
      </c>
    </row>
    <row r="140" spans="1:8" ht="15.75">
      <c r="A140" s="9" t="s">
        <v>6</v>
      </c>
      <c r="B140" s="5" t="s">
        <v>55</v>
      </c>
      <c r="C140" s="13">
        <v>250</v>
      </c>
      <c r="D140" s="13">
        <v>250</v>
      </c>
      <c r="E140" s="13">
        <v>250</v>
      </c>
      <c r="F140" s="13">
        <v>250</v>
      </c>
      <c r="G140" s="13">
        <v>250</v>
      </c>
      <c r="H140" s="13">
        <v>250</v>
      </c>
    </row>
    <row r="141" spans="1:8" ht="15.75">
      <c r="A141" s="4" t="s">
        <v>5</v>
      </c>
      <c r="B141" s="5" t="s">
        <v>56</v>
      </c>
      <c r="C141" s="13">
        <v>1000</v>
      </c>
      <c r="D141" s="13">
        <v>1000</v>
      </c>
      <c r="E141" s="13">
        <v>1000</v>
      </c>
      <c r="F141" s="13">
        <v>1000</v>
      </c>
      <c r="G141" s="13">
        <v>1000</v>
      </c>
      <c r="H141" s="13">
        <v>1000</v>
      </c>
    </row>
    <row r="142" spans="1:8" ht="15.75">
      <c r="A142" s="4" t="s">
        <v>5</v>
      </c>
      <c r="B142" s="5" t="s">
        <v>57</v>
      </c>
      <c r="C142" s="13">
        <v>500</v>
      </c>
      <c r="D142" s="13">
        <v>500</v>
      </c>
      <c r="E142" s="13">
        <v>500</v>
      </c>
      <c r="F142" s="13">
        <v>500</v>
      </c>
      <c r="G142" s="13">
        <v>500</v>
      </c>
      <c r="H142" s="13">
        <v>500</v>
      </c>
    </row>
    <row r="143" spans="1:8" ht="15.75">
      <c r="A143" s="9" t="s">
        <v>6</v>
      </c>
      <c r="B143" s="5" t="s">
        <v>58</v>
      </c>
      <c r="C143" s="13">
        <v>200</v>
      </c>
      <c r="D143" s="13">
        <v>200</v>
      </c>
      <c r="E143" s="13">
        <v>200</v>
      </c>
      <c r="F143" s="13">
        <v>200</v>
      </c>
      <c r="G143" s="13">
        <v>200</v>
      </c>
      <c r="H143" s="13">
        <v>200</v>
      </c>
    </row>
    <row r="144" spans="1:8" ht="15.75">
      <c r="A144" s="9" t="s">
        <v>6</v>
      </c>
      <c r="B144" s="5" t="s">
        <v>59</v>
      </c>
      <c r="C144" s="13">
        <v>700</v>
      </c>
      <c r="D144" s="13">
        <v>700</v>
      </c>
      <c r="E144" s="13">
        <v>700</v>
      </c>
      <c r="F144" s="13">
        <v>700</v>
      </c>
      <c r="G144" s="13">
        <v>700</v>
      </c>
      <c r="H144" s="13">
        <v>700</v>
      </c>
    </row>
    <row r="145" spans="1:13" ht="15.75">
      <c r="A145" s="4" t="s">
        <v>5</v>
      </c>
      <c r="B145" s="5" t="s">
        <v>60</v>
      </c>
      <c r="C145" s="13">
        <v>950</v>
      </c>
      <c r="D145" s="13">
        <v>950</v>
      </c>
      <c r="E145" s="13">
        <v>950</v>
      </c>
      <c r="F145" s="13">
        <v>950</v>
      </c>
      <c r="G145" s="13">
        <v>950</v>
      </c>
      <c r="H145" s="13">
        <v>950</v>
      </c>
    </row>
    <row r="146" spans="1:13" ht="15.75">
      <c r="A146" s="9" t="s">
        <v>6</v>
      </c>
      <c r="B146" s="5" t="s">
        <v>61</v>
      </c>
      <c r="C146" s="13">
        <v>50</v>
      </c>
      <c r="D146" s="13">
        <v>50</v>
      </c>
      <c r="E146" s="13">
        <v>50</v>
      </c>
      <c r="F146" s="13">
        <v>50</v>
      </c>
      <c r="G146" s="13">
        <v>50</v>
      </c>
      <c r="H146" s="13">
        <v>50</v>
      </c>
    </row>
    <row r="147" spans="1:13" ht="15.75">
      <c r="B147" s="21" t="s">
        <v>29</v>
      </c>
    </row>
    <row r="148" spans="1:13" ht="15.75">
      <c r="A148" s="4" t="s">
        <v>5</v>
      </c>
      <c r="B148" s="5" t="s">
        <v>62</v>
      </c>
      <c r="C148" s="13">
        <v>1500</v>
      </c>
      <c r="D148" s="13">
        <v>1500</v>
      </c>
      <c r="E148" s="13">
        <v>1500</v>
      </c>
      <c r="F148" s="13">
        <v>1500</v>
      </c>
      <c r="G148" s="13">
        <v>1500</v>
      </c>
      <c r="H148" s="13">
        <v>1500</v>
      </c>
    </row>
    <row r="149" spans="1:13" ht="15.75">
      <c r="A149" s="4" t="s">
        <v>5</v>
      </c>
      <c r="B149" s="5" t="s">
        <v>66</v>
      </c>
      <c r="C149" s="13">
        <v>500</v>
      </c>
      <c r="D149" s="13">
        <v>500</v>
      </c>
      <c r="E149" s="13">
        <v>500</v>
      </c>
      <c r="F149" s="13">
        <v>500</v>
      </c>
      <c r="G149" s="13">
        <v>500</v>
      </c>
      <c r="H149" s="13">
        <v>500</v>
      </c>
    </row>
    <row r="150" spans="1:13" ht="15.75">
      <c r="B150" s="21" t="s">
        <v>30</v>
      </c>
      <c r="M150" s="7"/>
    </row>
    <row r="151" spans="1:13" ht="15.75">
      <c r="A151" s="4" t="s">
        <v>5</v>
      </c>
      <c r="B151" s="5" t="s">
        <v>67</v>
      </c>
      <c r="C151" s="13">
        <v>900</v>
      </c>
      <c r="D151" s="13">
        <v>900</v>
      </c>
      <c r="E151" s="13">
        <v>900</v>
      </c>
      <c r="F151" s="13">
        <v>900</v>
      </c>
      <c r="G151" s="13">
        <v>900</v>
      </c>
      <c r="H151" s="13">
        <v>900</v>
      </c>
      <c r="M151" s="7"/>
    </row>
    <row r="152" spans="1:13" ht="15.75">
      <c r="A152" s="49" t="s">
        <v>112</v>
      </c>
      <c r="B152" s="5"/>
      <c r="C152" s="51">
        <f>SUM(C124,C131:C134,C137,C139,C141:C142,C145,C148:C149,C151)</f>
        <v>7740</v>
      </c>
      <c r="D152" s="51">
        <f t="shared" ref="D152:H152" si="30">SUM(D124,D131:D134,D137,D139,D141:D142,D145,D148:D149,D151)</f>
        <v>7740</v>
      </c>
      <c r="E152" s="51">
        <f t="shared" si="30"/>
        <v>7740</v>
      </c>
      <c r="F152" s="51">
        <f t="shared" si="30"/>
        <v>7740</v>
      </c>
      <c r="G152" s="51">
        <f t="shared" si="30"/>
        <v>7740</v>
      </c>
      <c r="H152" s="51">
        <f t="shared" si="30"/>
        <v>7740</v>
      </c>
      <c r="M152" s="8"/>
    </row>
    <row r="153" spans="1:13" ht="15.75">
      <c r="A153" s="49" t="s">
        <v>113</v>
      </c>
      <c r="B153" s="5"/>
      <c r="C153" s="51">
        <f>SUM(C122,C125,C127,C129,C135,C138,C140,C143:C144,C146)</f>
        <v>3480</v>
      </c>
      <c r="D153" s="51">
        <f t="shared" ref="D153:H153" si="31">SUM(D122,D125,D127,D129,D135,D138,D140,D143:D144,D146)</f>
        <v>3480</v>
      </c>
      <c r="E153" s="51">
        <f t="shared" si="31"/>
        <v>3550</v>
      </c>
      <c r="F153" s="51">
        <f t="shared" si="31"/>
        <v>3550</v>
      </c>
      <c r="G153" s="51">
        <f t="shared" si="31"/>
        <v>3550</v>
      </c>
      <c r="H153" s="51">
        <f t="shared" si="31"/>
        <v>3550</v>
      </c>
      <c r="M153" s="8"/>
    </row>
    <row r="154" spans="1:13" ht="15.75">
      <c r="A154" s="49" t="s">
        <v>114</v>
      </c>
      <c r="B154" s="5"/>
      <c r="C154" s="13">
        <v>0</v>
      </c>
      <c r="D154" s="13">
        <v>0</v>
      </c>
      <c r="E154" s="13">
        <v>0</v>
      </c>
      <c r="F154" s="13">
        <v>0</v>
      </c>
      <c r="G154" s="13">
        <v>0</v>
      </c>
      <c r="H154" s="13">
        <v>0</v>
      </c>
      <c r="M154" s="8"/>
    </row>
    <row r="155" spans="1:13">
      <c r="M155" s="8"/>
    </row>
    <row r="156" spans="1:13" ht="18">
      <c r="B156" s="23" t="s">
        <v>63</v>
      </c>
      <c r="M156" s="8"/>
    </row>
    <row r="157" spans="1:13" ht="15.75">
      <c r="B157" s="3" t="s">
        <v>77</v>
      </c>
      <c r="C157" s="1">
        <v>0</v>
      </c>
      <c r="D157" s="1">
        <v>0</v>
      </c>
      <c r="E157" s="1">
        <v>0</v>
      </c>
      <c r="F157" s="1">
        <v>0</v>
      </c>
      <c r="G157" s="1">
        <v>0</v>
      </c>
      <c r="H157" s="1">
        <v>0</v>
      </c>
      <c r="M157" s="7"/>
    </row>
    <row r="158" spans="1:13" ht="15.75">
      <c r="B158" s="3" t="s">
        <v>79</v>
      </c>
      <c r="C158" s="18">
        <f>C157/365</f>
        <v>0</v>
      </c>
      <c r="D158" s="18">
        <f t="shared" ref="D158:H158" si="32">D157/365</f>
        <v>0</v>
      </c>
      <c r="E158" s="18">
        <f t="shared" si="32"/>
        <v>0</v>
      </c>
      <c r="F158" s="18">
        <f t="shared" si="32"/>
        <v>0</v>
      </c>
      <c r="G158" s="18">
        <f t="shared" si="32"/>
        <v>0</v>
      </c>
      <c r="H158" s="18">
        <f t="shared" si="32"/>
        <v>0</v>
      </c>
      <c r="M158" s="7"/>
    </row>
    <row r="159" spans="1:13" ht="15.75">
      <c r="B159" s="2" t="s">
        <v>80</v>
      </c>
      <c r="C159" s="1">
        <v>2050</v>
      </c>
      <c r="D159" s="1">
        <v>2100</v>
      </c>
      <c r="E159" s="1">
        <v>2150</v>
      </c>
      <c r="F159" s="1">
        <v>2200</v>
      </c>
      <c r="G159" s="1">
        <v>2250</v>
      </c>
      <c r="H159" s="1">
        <v>2300</v>
      </c>
      <c r="M159" s="7"/>
    </row>
    <row r="160" spans="1:13" ht="15.75">
      <c r="B160" s="2" t="s">
        <v>2</v>
      </c>
      <c r="C160" s="1">
        <v>1050</v>
      </c>
      <c r="D160" s="1">
        <v>1100</v>
      </c>
      <c r="E160" s="1">
        <v>1150</v>
      </c>
      <c r="F160" s="1">
        <v>1200</v>
      </c>
      <c r="G160" s="1">
        <v>1250</v>
      </c>
      <c r="H160" s="1">
        <v>1350</v>
      </c>
      <c r="M160" s="7"/>
    </row>
    <row r="161" spans="1:8" ht="15.75">
      <c r="B161" s="2" t="s">
        <v>3</v>
      </c>
      <c r="C161" s="1">
        <v>850</v>
      </c>
      <c r="D161" s="1">
        <v>900</v>
      </c>
      <c r="E161" s="1">
        <v>950</v>
      </c>
      <c r="F161" s="1">
        <v>1050</v>
      </c>
      <c r="G161" s="1">
        <v>1100</v>
      </c>
      <c r="H161" s="1">
        <v>1150</v>
      </c>
    </row>
    <row r="162" spans="1:8" ht="15.75">
      <c r="B162" s="2" t="s">
        <v>0</v>
      </c>
      <c r="C162" s="1">
        <v>43600</v>
      </c>
      <c r="D162" s="1">
        <v>43600</v>
      </c>
      <c r="E162" s="1">
        <v>43600</v>
      </c>
      <c r="F162" s="1">
        <v>43600</v>
      </c>
      <c r="G162" s="1">
        <v>43600</v>
      </c>
      <c r="H162" s="1">
        <v>43600</v>
      </c>
    </row>
    <row r="163" spans="1:8" ht="15.75">
      <c r="B163" s="2" t="s">
        <v>83</v>
      </c>
      <c r="C163" s="24">
        <f>C162/365</f>
        <v>119.45205479452055</v>
      </c>
      <c r="D163" s="24">
        <f t="shared" ref="D163" si="33">D162/365</f>
        <v>119.45205479452055</v>
      </c>
      <c r="E163" s="24">
        <f t="shared" ref="E163" si="34">E162/365</f>
        <v>119.45205479452055</v>
      </c>
      <c r="F163" s="24">
        <f t="shared" ref="F163" si="35">F162/365</f>
        <v>119.45205479452055</v>
      </c>
      <c r="G163" s="24">
        <f t="shared" ref="G163" si="36">G162/365</f>
        <v>119.45205479452055</v>
      </c>
      <c r="H163" s="24">
        <f t="shared" ref="H163" si="37">H162/365</f>
        <v>119.45205479452055</v>
      </c>
    </row>
    <row r="164" spans="1:8" ht="15.75">
      <c r="B164" s="2" t="s">
        <v>81</v>
      </c>
      <c r="C164" s="1">
        <v>250</v>
      </c>
      <c r="D164" s="1">
        <v>250</v>
      </c>
      <c r="E164" s="1">
        <v>250</v>
      </c>
      <c r="F164" s="1">
        <v>250</v>
      </c>
      <c r="G164" s="1">
        <v>250</v>
      </c>
      <c r="H164" s="1">
        <v>250</v>
      </c>
    </row>
    <row r="165" spans="1:8" ht="15.75">
      <c r="B165" s="2" t="s">
        <v>82</v>
      </c>
      <c r="C165" s="1">
        <v>300</v>
      </c>
      <c r="D165" s="1">
        <v>300</v>
      </c>
      <c r="E165" s="1">
        <v>300</v>
      </c>
      <c r="F165" s="1">
        <v>300</v>
      </c>
      <c r="G165" s="1">
        <v>300</v>
      </c>
      <c r="H165" s="1">
        <v>300</v>
      </c>
    </row>
    <row r="166" spans="1:8" ht="15.75">
      <c r="B166" s="2" t="s">
        <v>1</v>
      </c>
      <c r="C166" s="1">
        <f>SUM(C178:C183)</f>
        <v>1900</v>
      </c>
      <c r="D166" s="1">
        <f t="shared" ref="D166:H166" si="38">SUM(D178:D183)</f>
        <v>1900</v>
      </c>
      <c r="E166" s="1">
        <f t="shared" si="38"/>
        <v>1900</v>
      </c>
      <c r="F166" s="1">
        <f t="shared" si="38"/>
        <v>1900</v>
      </c>
      <c r="G166" s="1">
        <f t="shared" si="38"/>
        <v>1900</v>
      </c>
      <c r="H166" s="1">
        <f t="shared" si="38"/>
        <v>1900</v>
      </c>
    </row>
    <row r="167" spans="1:8" ht="15.75">
      <c r="B167" s="2" t="s">
        <v>111</v>
      </c>
      <c r="C167" s="1">
        <v>3</v>
      </c>
      <c r="D167" s="1">
        <v>3</v>
      </c>
      <c r="E167" s="1">
        <v>3</v>
      </c>
      <c r="F167" s="1">
        <v>3</v>
      </c>
      <c r="G167" s="1">
        <v>3</v>
      </c>
      <c r="H167" s="1">
        <v>3</v>
      </c>
    </row>
    <row r="169" spans="1:8" ht="15.75">
      <c r="B169" s="21" t="s">
        <v>64</v>
      </c>
    </row>
    <row r="170" spans="1:8" ht="15.75">
      <c r="A170" s="4" t="s">
        <v>5</v>
      </c>
      <c r="B170" s="2" t="s">
        <v>20</v>
      </c>
      <c r="C170" s="1">
        <v>200</v>
      </c>
      <c r="D170" s="1">
        <v>200</v>
      </c>
      <c r="E170" s="1">
        <v>200</v>
      </c>
      <c r="F170" s="1">
        <v>200</v>
      </c>
      <c r="G170" s="1">
        <v>200</v>
      </c>
      <c r="H170" s="1">
        <v>200</v>
      </c>
    </row>
    <row r="171" spans="1:8" ht="15.75">
      <c r="A171" s="9" t="s">
        <v>6</v>
      </c>
      <c r="B171" s="2" t="s">
        <v>17</v>
      </c>
      <c r="C171" s="1">
        <v>200</v>
      </c>
      <c r="D171" s="1">
        <v>200</v>
      </c>
      <c r="E171" s="1">
        <v>200</v>
      </c>
      <c r="F171" s="1">
        <v>200</v>
      </c>
      <c r="G171" s="1">
        <v>200</v>
      </c>
      <c r="H171" s="1">
        <v>200</v>
      </c>
    </row>
    <row r="172" spans="1:8" ht="15.75">
      <c r="B172" s="21" t="s">
        <v>50</v>
      </c>
    </row>
    <row r="173" spans="1:8" ht="15.75">
      <c r="A173" s="4" t="s">
        <v>5</v>
      </c>
      <c r="B173" s="2" t="s">
        <v>68</v>
      </c>
      <c r="C173" s="1">
        <v>80</v>
      </c>
      <c r="D173" s="1">
        <v>80</v>
      </c>
      <c r="E173" s="1">
        <v>80</v>
      </c>
      <c r="F173" s="1">
        <v>80</v>
      </c>
      <c r="G173" s="1">
        <v>80</v>
      </c>
      <c r="H173" s="1">
        <v>80</v>
      </c>
    </row>
    <row r="174" spans="1:8" ht="15.75">
      <c r="A174" s="9" t="s">
        <v>6</v>
      </c>
      <c r="B174" s="2" t="s">
        <v>69</v>
      </c>
      <c r="C174" s="1">
        <v>150</v>
      </c>
      <c r="D174" s="1">
        <v>150</v>
      </c>
      <c r="E174" s="1">
        <v>150</v>
      </c>
      <c r="F174" s="1">
        <v>150</v>
      </c>
      <c r="G174" s="1">
        <v>150</v>
      </c>
      <c r="H174" s="1">
        <v>150</v>
      </c>
    </row>
    <row r="175" spans="1:8" ht="15.75">
      <c r="B175" s="21" t="s">
        <v>71</v>
      </c>
    </row>
    <row r="176" spans="1:8" ht="15.75">
      <c r="A176" s="4" t="s">
        <v>5</v>
      </c>
      <c r="B176" s="2" t="s">
        <v>70</v>
      </c>
      <c r="C176" s="1">
        <v>600</v>
      </c>
      <c r="D176" s="1">
        <v>600</v>
      </c>
      <c r="E176" s="1">
        <v>600</v>
      </c>
      <c r="F176" s="1">
        <v>600</v>
      </c>
      <c r="G176" s="1">
        <v>600</v>
      </c>
      <c r="H176" s="1">
        <v>600</v>
      </c>
    </row>
    <row r="177" spans="1:8" ht="15.75">
      <c r="B177" s="21" t="s">
        <v>72</v>
      </c>
    </row>
    <row r="178" spans="1:8" ht="15.75">
      <c r="A178" s="4" t="s">
        <v>5</v>
      </c>
      <c r="B178" s="2" t="s">
        <v>24</v>
      </c>
      <c r="C178" s="1">
        <v>500</v>
      </c>
      <c r="D178" s="1">
        <v>500</v>
      </c>
      <c r="E178" s="1">
        <v>500</v>
      </c>
      <c r="F178" s="1">
        <v>500</v>
      </c>
      <c r="G178" s="1">
        <v>500</v>
      </c>
      <c r="H178" s="1">
        <v>500</v>
      </c>
    </row>
    <row r="179" spans="1:8" ht="15.75">
      <c r="A179" s="4" t="s">
        <v>5</v>
      </c>
      <c r="B179" s="2" t="s">
        <v>25</v>
      </c>
      <c r="C179" s="1">
        <v>300</v>
      </c>
      <c r="D179" s="1">
        <v>300</v>
      </c>
      <c r="E179" s="1">
        <v>300</v>
      </c>
      <c r="F179" s="1">
        <v>300</v>
      </c>
      <c r="G179" s="1">
        <v>300</v>
      </c>
      <c r="H179" s="1">
        <v>300</v>
      </c>
    </row>
    <row r="180" spans="1:8" ht="15.75">
      <c r="A180" s="4" t="s">
        <v>5</v>
      </c>
      <c r="B180" s="2" t="s">
        <v>73</v>
      </c>
      <c r="C180" s="1">
        <v>400</v>
      </c>
      <c r="D180" s="1">
        <v>400</v>
      </c>
      <c r="E180" s="1">
        <v>400</v>
      </c>
      <c r="F180" s="1">
        <v>400</v>
      </c>
      <c r="G180" s="1">
        <v>400</v>
      </c>
      <c r="H180" s="1">
        <v>400</v>
      </c>
    </row>
    <row r="181" spans="1:8" ht="15.75">
      <c r="A181" s="4" t="s">
        <v>5</v>
      </c>
      <c r="B181" s="2" t="s">
        <v>74</v>
      </c>
      <c r="C181" s="1">
        <v>400</v>
      </c>
      <c r="D181" s="1">
        <v>400</v>
      </c>
      <c r="E181" s="1">
        <v>400</v>
      </c>
      <c r="F181" s="1">
        <v>400</v>
      </c>
      <c r="G181" s="1">
        <v>400</v>
      </c>
      <c r="H181" s="1">
        <v>400</v>
      </c>
    </row>
    <row r="182" spans="1:8" ht="15.75">
      <c r="A182" s="4" t="s">
        <v>5</v>
      </c>
      <c r="B182" s="2" t="s">
        <v>75</v>
      </c>
      <c r="C182" s="1">
        <v>100</v>
      </c>
      <c r="D182" s="1">
        <v>100</v>
      </c>
      <c r="E182" s="1">
        <v>100</v>
      </c>
      <c r="F182" s="1">
        <v>100</v>
      </c>
      <c r="G182" s="1">
        <v>100</v>
      </c>
      <c r="H182" s="1">
        <v>100</v>
      </c>
    </row>
    <row r="183" spans="1:8" ht="15.75">
      <c r="A183" s="4" t="s">
        <v>5</v>
      </c>
      <c r="B183" s="2" t="s">
        <v>76</v>
      </c>
      <c r="C183" s="1">
        <v>200</v>
      </c>
      <c r="D183" s="1">
        <v>200</v>
      </c>
      <c r="E183" s="1">
        <v>200</v>
      </c>
      <c r="F183" s="1">
        <v>200</v>
      </c>
      <c r="G183" s="1">
        <v>200</v>
      </c>
      <c r="H183" s="1">
        <v>200</v>
      </c>
    </row>
    <row r="184" spans="1:8" ht="15.75">
      <c r="A184" s="49" t="s">
        <v>112</v>
      </c>
      <c r="B184" s="5"/>
      <c r="C184" s="1">
        <f>SUM(C170,C173,C176)</f>
        <v>880</v>
      </c>
      <c r="D184" s="1">
        <f t="shared" ref="D184:H184" si="39">SUM(D170,D173,D176)</f>
        <v>880</v>
      </c>
      <c r="E184" s="1">
        <f t="shared" si="39"/>
        <v>880</v>
      </c>
      <c r="F184" s="1">
        <f t="shared" si="39"/>
        <v>880</v>
      </c>
      <c r="G184" s="1">
        <f t="shared" si="39"/>
        <v>880</v>
      </c>
      <c r="H184" s="1">
        <f t="shared" si="39"/>
        <v>880</v>
      </c>
    </row>
    <row r="185" spans="1:8" ht="15.75">
      <c r="A185" s="49" t="s">
        <v>113</v>
      </c>
      <c r="B185" s="5"/>
      <c r="C185" s="1">
        <f>SUM(C171,C174)</f>
        <v>350</v>
      </c>
      <c r="D185" s="1">
        <f t="shared" ref="D185:H185" si="40">SUM(D171,D174)</f>
        <v>350</v>
      </c>
      <c r="E185" s="1">
        <f t="shared" si="40"/>
        <v>350</v>
      </c>
      <c r="F185" s="1">
        <f t="shared" si="40"/>
        <v>350</v>
      </c>
      <c r="G185" s="1">
        <f t="shared" si="40"/>
        <v>350</v>
      </c>
      <c r="H185" s="1">
        <f t="shared" si="40"/>
        <v>350</v>
      </c>
    </row>
    <row r="186" spans="1:8" ht="15.75">
      <c r="A186" s="49" t="s">
        <v>114</v>
      </c>
      <c r="B186" s="5"/>
      <c r="C186" s="1">
        <f>SUM(C178:C183)</f>
        <v>1900</v>
      </c>
      <c r="D186" s="1">
        <f t="shared" ref="D186:H186" si="41">SUM(D178:D183)</f>
        <v>1900</v>
      </c>
      <c r="E186" s="1">
        <f t="shared" si="41"/>
        <v>1900</v>
      </c>
      <c r="F186" s="1">
        <f t="shared" si="41"/>
        <v>1900</v>
      </c>
      <c r="G186" s="1">
        <f t="shared" si="41"/>
        <v>1900</v>
      </c>
      <c r="H186" s="1">
        <f t="shared" si="41"/>
        <v>1900</v>
      </c>
    </row>
  </sheetData>
  <mergeCells count="1">
    <mergeCell ref="L1:Q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4" id="{4224613E-6B25-44AA-B376-24C19E81143A}">
            <x14:iconSet iconSet="3Triangles">
              <x14:cfvo type="percent">
                <xm:f>0</xm:f>
              </x14:cfvo>
              <x14:cfvo type="percent">
                <xm:f>33</xm:f>
              </x14:cfvo>
              <x14:cfvo type="percent">
                <xm:f>67</xm:f>
              </x14:cfvo>
            </x14:iconSet>
          </x14:cfRule>
          <xm:sqref>A77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F259"/>
  <sheetViews>
    <sheetView tabSelected="1" topLeftCell="A7" zoomScale="70" zoomScaleNormal="70" workbookViewId="0">
      <selection activeCell="Q229" sqref="Q229"/>
    </sheetView>
  </sheetViews>
  <sheetFormatPr defaultRowHeight="15"/>
  <cols>
    <col min="1" max="1" width="7.109375" customWidth="1"/>
    <col min="2" max="2" width="7.5546875" customWidth="1"/>
    <col min="3" max="3" width="3.5546875" bestFit="1" customWidth="1"/>
    <col min="4" max="4" width="12.77734375" bestFit="1" customWidth="1"/>
    <col min="5" max="6" width="11.109375" customWidth="1"/>
    <col min="7" max="7" width="13.109375" customWidth="1"/>
    <col min="8" max="8" width="11.21875" customWidth="1"/>
    <col min="9" max="10" width="16.5546875" customWidth="1"/>
    <col min="11" max="21" width="11.21875" customWidth="1"/>
    <col min="22" max="22" width="12" bestFit="1" customWidth="1"/>
    <col min="23" max="24" width="12" customWidth="1"/>
    <col min="25" max="27" width="10.109375" customWidth="1"/>
    <col min="28" max="28" width="10.109375" hidden="1" customWidth="1"/>
    <col min="29" max="29" width="10.109375" customWidth="1"/>
    <col min="30" max="32" width="10.109375" hidden="1" customWidth="1"/>
    <col min="37" max="37" width="16.77734375" customWidth="1"/>
    <col min="38" max="38" width="9.77734375" customWidth="1"/>
    <col min="39" max="39" width="10" customWidth="1"/>
    <col min="40" max="40" width="20.88671875" bestFit="1" customWidth="1"/>
    <col min="41" max="46" width="9.5546875" customWidth="1"/>
  </cols>
  <sheetData>
    <row r="1" spans="1:58" ht="15.75">
      <c r="I1" s="419" t="s">
        <v>86</v>
      </c>
      <c r="J1" s="419"/>
      <c r="K1" s="419"/>
      <c r="L1" s="419"/>
      <c r="M1" s="419"/>
      <c r="N1" s="419"/>
      <c r="O1" s="419"/>
      <c r="Q1" s="419" t="s">
        <v>87</v>
      </c>
      <c r="R1" s="419"/>
      <c r="S1" s="419"/>
      <c r="T1" s="419"/>
      <c r="U1" s="419"/>
    </row>
    <row r="2" spans="1:58" ht="15.75">
      <c r="B2" s="419" t="s">
        <v>84</v>
      </c>
      <c r="C2" s="419"/>
      <c r="D2" s="419"/>
      <c r="E2" s="419"/>
    </row>
    <row r="8" spans="1:58" ht="15.75">
      <c r="B8" s="419" t="s">
        <v>85</v>
      </c>
      <c r="C8" s="419"/>
      <c r="D8" s="419"/>
      <c r="E8" s="419"/>
    </row>
    <row r="13" spans="1:58">
      <c r="AV13" s="405" t="s">
        <v>123</v>
      </c>
      <c r="AW13" s="405"/>
      <c r="AX13" s="405"/>
      <c r="AY13" s="405"/>
      <c r="AZ13" s="405"/>
      <c r="BA13" s="405"/>
      <c r="BB13" s="405"/>
      <c r="BC13" s="405"/>
      <c r="BD13" s="405"/>
      <c r="BE13" s="405"/>
      <c r="BF13" s="405"/>
    </row>
    <row r="14" spans="1:58" ht="15.75" thickBot="1">
      <c r="B14" s="25"/>
      <c r="C14" s="25"/>
      <c r="D14" s="25"/>
      <c r="E14" s="25"/>
      <c r="F14" s="25"/>
      <c r="G14" s="25"/>
      <c r="H14" s="25"/>
      <c r="I14" s="25"/>
      <c r="J14" s="25"/>
      <c r="K14" s="25"/>
      <c r="L14" s="25"/>
      <c r="M14" s="25"/>
      <c r="N14" s="25"/>
      <c r="O14" s="25"/>
      <c r="P14" s="25"/>
      <c r="AV14" s="405"/>
      <c r="AW14" s="405"/>
      <c r="AX14" s="405"/>
      <c r="AY14" s="405"/>
      <c r="AZ14" s="405"/>
      <c r="BA14" s="405"/>
      <c r="BB14" s="405"/>
      <c r="BC14" s="405"/>
      <c r="BD14" s="405"/>
      <c r="BE14" s="405"/>
      <c r="BF14" s="405"/>
    </row>
    <row r="15" spans="1:58" ht="15.75" thickBot="1">
      <c r="A15" s="27" t="s">
        <v>108</v>
      </c>
      <c r="B15" s="27" t="s">
        <v>88</v>
      </c>
      <c r="C15" s="27" t="s">
        <v>107</v>
      </c>
      <c r="D15" s="409" t="s">
        <v>89</v>
      </c>
      <c r="E15" s="410"/>
      <c r="F15" s="411"/>
      <c r="G15" s="28" t="s">
        <v>133</v>
      </c>
      <c r="H15" s="29" t="s">
        <v>129</v>
      </c>
      <c r="I15" s="29" t="s">
        <v>127</v>
      </c>
      <c r="J15" s="29" t="s">
        <v>128</v>
      </c>
      <c r="K15" s="27" t="s">
        <v>93</v>
      </c>
      <c r="L15" s="409" t="s">
        <v>134</v>
      </c>
      <c r="M15" s="410"/>
      <c r="N15" s="411"/>
      <c r="O15" s="409" t="s">
        <v>131</v>
      </c>
      <c r="P15" s="410"/>
      <c r="Q15" s="411"/>
      <c r="R15" s="409" t="s">
        <v>124</v>
      </c>
      <c r="S15" s="410"/>
      <c r="T15" s="410"/>
      <c r="U15" s="411"/>
    </row>
    <row r="16" spans="1:58" ht="17.25" thickTop="1" thickBot="1">
      <c r="A16" s="420"/>
      <c r="B16" s="420"/>
      <c r="C16" s="420"/>
      <c r="D16" s="40" t="s">
        <v>90</v>
      </c>
      <c r="E16" s="41" t="s">
        <v>91</v>
      </c>
      <c r="F16" s="42" t="s">
        <v>92</v>
      </c>
      <c r="G16" s="66"/>
      <c r="H16" s="406"/>
      <c r="I16" s="407"/>
      <c r="J16" s="407"/>
      <c r="K16" s="408"/>
      <c r="L16" s="162"/>
      <c r="M16" s="162"/>
      <c r="N16" s="162"/>
      <c r="O16" s="43" t="s">
        <v>95</v>
      </c>
      <c r="P16" s="44" t="s">
        <v>94</v>
      </c>
      <c r="Q16" s="45" t="s">
        <v>96</v>
      </c>
      <c r="R16" s="46" t="s">
        <v>95</v>
      </c>
      <c r="S16" s="44" t="s">
        <v>94</v>
      </c>
      <c r="T16" s="177" t="s">
        <v>135</v>
      </c>
      <c r="U16" s="45" t="s">
        <v>96</v>
      </c>
      <c r="Y16" s="1"/>
      <c r="Z16" s="1"/>
      <c r="AA16" s="26">
        <v>2013</v>
      </c>
      <c r="AB16" s="26">
        <v>2014</v>
      </c>
      <c r="AC16" s="26">
        <v>2015</v>
      </c>
      <c r="AD16" s="26">
        <v>2016</v>
      </c>
      <c r="AE16" s="26">
        <v>2017</v>
      </c>
      <c r="AF16" s="26">
        <v>2018</v>
      </c>
      <c r="AV16" s="63">
        <v>2013</v>
      </c>
      <c r="AW16" s="63">
        <v>2014</v>
      </c>
      <c r="AX16" s="63">
        <v>2015</v>
      </c>
      <c r="AY16" s="63">
        <v>2016</v>
      </c>
      <c r="AZ16" s="63">
        <v>2017</v>
      </c>
      <c r="BA16" s="63">
        <v>2018</v>
      </c>
    </row>
    <row r="17" spans="1:58" ht="15" customHeight="1">
      <c r="A17" s="421" t="s">
        <v>109</v>
      </c>
      <c r="B17" s="402" t="s">
        <v>105</v>
      </c>
      <c r="C17" s="30">
        <v>1</v>
      </c>
      <c r="D17" s="132"/>
      <c r="E17" s="133" t="e">
        <f>MIN(1,Input!C18/0)</f>
        <v>#DIV/0!</v>
      </c>
      <c r="F17" s="134"/>
      <c r="G17" s="117"/>
      <c r="H17" s="117"/>
      <c r="I17" s="117"/>
      <c r="J17" s="117"/>
      <c r="K17" s="117"/>
      <c r="L17" s="117"/>
      <c r="M17" s="117"/>
      <c r="N17" s="117"/>
      <c r="O17" s="117"/>
      <c r="P17" s="118"/>
      <c r="Q17" s="118"/>
      <c r="R17" s="118"/>
      <c r="S17" s="118"/>
      <c r="T17" s="118"/>
      <c r="U17" s="119"/>
      <c r="Y17" s="401" t="s">
        <v>41</v>
      </c>
      <c r="Z17" s="401"/>
      <c r="AA17" s="13"/>
      <c r="AB17" s="13"/>
      <c r="AC17" s="13"/>
      <c r="AD17" s="13"/>
      <c r="AE17" s="13"/>
      <c r="AF17" s="13"/>
      <c r="AV17" s="58">
        <v>331578.78650299896</v>
      </c>
      <c r="AW17" s="58">
        <v>331900.63276543777</v>
      </c>
      <c r="AX17" s="58">
        <v>332966.56005831057</v>
      </c>
      <c r="AY17" s="58">
        <v>342080.30869435531</v>
      </c>
      <c r="AZ17" s="58">
        <v>344875.83883956046</v>
      </c>
      <c r="BA17" s="58">
        <v>348482.48341546074</v>
      </c>
      <c r="BB17" s="58">
        <v>349961.92435218353</v>
      </c>
      <c r="BC17" s="58">
        <v>350420.49523543153</v>
      </c>
      <c r="BD17" s="58">
        <v>349813.8912863296</v>
      </c>
      <c r="BE17" s="58">
        <v>349473.04940137849</v>
      </c>
      <c r="BF17" s="59">
        <v>346389.34329758619</v>
      </c>
    </row>
    <row r="18" spans="1:58" ht="15" customHeight="1">
      <c r="A18" s="422"/>
      <c r="B18" s="403"/>
      <c r="C18" s="31">
        <v>2</v>
      </c>
      <c r="D18" s="135"/>
      <c r="E18" s="136" t="e">
        <f>MIN(1,Input!D18/0)</f>
        <v>#DIV/0!</v>
      </c>
      <c r="F18" s="137"/>
      <c r="G18" s="77"/>
      <c r="H18" s="77"/>
      <c r="I18" s="77"/>
      <c r="J18" s="77"/>
      <c r="K18" s="77"/>
      <c r="L18" s="77"/>
      <c r="M18" s="77"/>
      <c r="N18" s="77"/>
      <c r="O18" s="77"/>
      <c r="P18" s="64"/>
      <c r="Q18" s="64"/>
      <c r="R18" s="64"/>
      <c r="S18" s="64"/>
      <c r="T18" s="64"/>
      <c r="U18" s="120"/>
      <c r="Y18" s="1"/>
      <c r="Z18" s="3" t="s">
        <v>77</v>
      </c>
      <c r="AA18" s="52">
        <v>550</v>
      </c>
      <c r="AB18" s="52">
        <v>0</v>
      </c>
      <c r="AC18" s="52">
        <v>500</v>
      </c>
      <c r="AD18" s="52">
        <v>8000</v>
      </c>
      <c r="AE18" s="52">
        <v>16000</v>
      </c>
      <c r="AF18" s="52">
        <v>23000</v>
      </c>
      <c r="AV18" s="58">
        <v>130230.10834797451</v>
      </c>
      <c r="AW18" s="58">
        <v>130356.51593294353</v>
      </c>
      <c r="AX18" s="58">
        <v>130775.16704240053</v>
      </c>
      <c r="AY18" s="58">
        <v>134354.66163204482</v>
      </c>
      <c r="AZ18" s="58">
        <v>135452.6275108023</v>
      </c>
      <c r="BA18" s="58">
        <v>136869.16479548736</v>
      </c>
      <c r="BB18" s="58">
        <v>137450.22655615007</v>
      </c>
      <c r="BC18" s="58">
        <v>137630.33378327533</v>
      </c>
      <c r="BD18" s="58">
        <v>137392.08543557793</v>
      </c>
      <c r="BE18" s="58">
        <v>137258.21717435756</v>
      </c>
      <c r="BF18" s="59">
        <v>136047.06798038899</v>
      </c>
    </row>
    <row r="19" spans="1:58" ht="15" customHeight="1">
      <c r="A19" s="422"/>
      <c r="B19" s="403"/>
      <c r="C19" s="31">
        <v>3</v>
      </c>
      <c r="D19" s="135"/>
      <c r="E19" s="136" t="e">
        <f>MIN(1,Input!E18/0)</f>
        <v>#DIV/0!</v>
      </c>
      <c r="F19" s="137"/>
      <c r="G19" s="77"/>
      <c r="H19" s="77"/>
      <c r="I19" s="77"/>
      <c r="J19" s="77"/>
      <c r="K19" s="77"/>
      <c r="L19" s="77"/>
      <c r="M19" s="77"/>
      <c r="N19" s="77"/>
      <c r="O19" s="77"/>
      <c r="P19" s="77"/>
      <c r="Q19" s="64"/>
      <c r="R19" s="64"/>
      <c r="S19" s="64"/>
      <c r="T19" s="64"/>
      <c r="U19" s="120"/>
      <c r="Y19" s="1"/>
      <c r="Z19" s="3" t="s">
        <v>78</v>
      </c>
      <c r="AA19" s="52">
        <f>AA18/365</f>
        <v>1.5068493150684932</v>
      </c>
      <c r="AB19" s="52">
        <f t="shared" ref="AB19:AF19" si="0">AB18/365</f>
        <v>0</v>
      </c>
      <c r="AC19" s="52">
        <f t="shared" si="0"/>
        <v>1.3698630136986301</v>
      </c>
      <c r="AD19" s="52">
        <f t="shared" si="0"/>
        <v>21.917808219178081</v>
      </c>
      <c r="AE19" s="52">
        <f t="shared" si="0"/>
        <v>43.835616438356162</v>
      </c>
      <c r="AF19" s="52">
        <f t="shared" si="0"/>
        <v>63.013698630136986</v>
      </c>
      <c r="AV19" s="58">
        <v>31692</v>
      </c>
      <c r="AW19" s="58">
        <v>31862</v>
      </c>
      <c r="AX19" s="58">
        <v>31645</v>
      </c>
      <c r="AY19" s="58">
        <v>31646</v>
      </c>
      <c r="AZ19" s="58">
        <v>35650</v>
      </c>
      <c r="BA19" s="58">
        <v>36651</v>
      </c>
      <c r="BB19" s="58">
        <v>36651</v>
      </c>
      <c r="BC19" s="58">
        <v>38649</v>
      </c>
      <c r="BD19" s="58">
        <v>38635</v>
      </c>
      <c r="BE19" s="58">
        <v>38621</v>
      </c>
      <c r="BF19" s="59">
        <v>38621</v>
      </c>
    </row>
    <row r="20" spans="1:58" ht="15" customHeight="1">
      <c r="A20" s="422"/>
      <c r="B20" s="403"/>
      <c r="C20" s="31">
        <v>4</v>
      </c>
      <c r="D20" s="135"/>
      <c r="E20" s="136" t="e">
        <f>MIN(1,Input!F18/0)</f>
        <v>#DIV/0!</v>
      </c>
      <c r="F20" s="137"/>
      <c r="G20" s="77"/>
      <c r="H20" s="77"/>
      <c r="I20" s="77"/>
      <c r="J20" s="77"/>
      <c r="K20" s="77"/>
      <c r="L20" s="77"/>
      <c r="M20" s="77"/>
      <c r="N20" s="77"/>
      <c r="O20" s="77"/>
      <c r="P20" s="77"/>
      <c r="Q20" s="64"/>
      <c r="R20" s="64"/>
      <c r="S20" s="64"/>
      <c r="T20" s="64"/>
      <c r="U20" s="120"/>
      <c r="Y20" s="1"/>
      <c r="Z20" s="2" t="s">
        <v>80</v>
      </c>
      <c r="AA20" s="52">
        <v>2800</v>
      </c>
      <c r="AB20" s="52">
        <v>2850</v>
      </c>
      <c r="AC20" s="52">
        <v>2850</v>
      </c>
      <c r="AD20" s="52">
        <v>2900</v>
      </c>
      <c r="AE20" s="52">
        <v>2900</v>
      </c>
      <c r="AF20" s="52">
        <v>2950</v>
      </c>
      <c r="AV20" s="62">
        <f>SUM(AV17:AV19)</f>
        <v>493500.89485097351</v>
      </c>
      <c r="AW20" s="62">
        <f t="shared" ref="AW20:BF20" si="1">SUM(AW17:AW19)</f>
        <v>494119.14869838126</v>
      </c>
      <c r="AX20" s="62">
        <f t="shared" si="1"/>
        <v>495386.72710071108</v>
      </c>
      <c r="AY20" s="62">
        <f t="shared" si="1"/>
        <v>508080.97032640013</v>
      </c>
      <c r="AZ20" s="62">
        <f t="shared" si="1"/>
        <v>515978.46635036275</v>
      </c>
      <c r="BA20" s="62">
        <f t="shared" si="1"/>
        <v>522002.6482109481</v>
      </c>
      <c r="BB20" s="62">
        <f t="shared" si="1"/>
        <v>524063.1509083336</v>
      </c>
      <c r="BC20" s="62">
        <f t="shared" si="1"/>
        <v>526699.82901870692</v>
      </c>
      <c r="BD20" s="62">
        <f t="shared" si="1"/>
        <v>525840.9767219075</v>
      </c>
      <c r="BE20" s="62">
        <f t="shared" si="1"/>
        <v>525352.26657573599</v>
      </c>
      <c r="BF20" s="62">
        <f t="shared" si="1"/>
        <v>521057.41127797519</v>
      </c>
    </row>
    <row r="21" spans="1:58" ht="15" customHeight="1">
      <c r="A21" s="422"/>
      <c r="B21" s="403"/>
      <c r="C21" s="31">
        <v>5</v>
      </c>
      <c r="D21" s="135"/>
      <c r="E21" s="136" t="e">
        <f>MIN(1,Input!G18/0)</f>
        <v>#DIV/0!</v>
      </c>
      <c r="F21" s="137"/>
      <c r="G21" s="77"/>
      <c r="H21" s="77"/>
      <c r="I21" s="77"/>
      <c r="J21" s="77"/>
      <c r="K21" s="77"/>
      <c r="L21" s="77"/>
      <c r="M21" s="77"/>
      <c r="N21" s="77"/>
      <c r="O21" s="77"/>
      <c r="P21" s="77"/>
      <c r="Q21" s="64"/>
      <c r="R21" s="64"/>
      <c r="S21" s="64"/>
      <c r="T21" s="64"/>
      <c r="U21" s="120"/>
      <c r="Y21" s="1"/>
      <c r="Z21" s="2" t="s">
        <v>2</v>
      </c>
      <c r="AA21" s="52">
        <v>1350</v>
      </c>
      <c r="AB21" s="52">
        <v>1350</v>
      </c>
      <c r="AC21" s="52">
        <v>1350</v>
      </c>
      <c r="AD21" s="52">
        <v>1400</v>
      </c>
      <c r="AE21" s="52">
        <v>1400</v>
      </c>
      <c r="AF21" s="52">
        <v>1400</v>
      </c>
    </row>
    <row r="22" spans="1:58" ht="15" customHeight="1" thickBot="1">
      <c r="A22" s="422"/>
      <c r="B22" s="404"/>
      <c r="C22" s="32">
        <v>6</v>
      </c>
      <c r="D22" s="135"/>
      <c r="E22" s="75" t="e">
        <f>MIN(1,Input!H18/0)</f>
        <v>#DIV/0!</v>
      </c>
      <c r="F22" s="137"/>
      <c r="G22" s="77"/>
      <c r="H22" s="77"/>
      <c r="I22" s="77"/>
      <c r="J22" s="77"/>
      <c r="K22" s="77"/>
      <c r="L22" s="77"/>
      <c r="M22" s="77"/>
      <c r="N22" s="77"/>
      <c r="O22" s="77"/>
      <c r="P22" s="77"/>
      <c r="Q22" s="64"/>
      <c r="R22" s="64"/>
      <c r="S22" s="64"/>
      <c r="T22" s="64"/>
      <c r="U22" s="120"/>
      <c r="Y22" s="1"/>
      <c r="Z22" s="2" t="s">
        <v>3</v>
      </c>
      <c r="AA22" s="52">
        <v>500</v>
      </c>
      <c r="AB22" s="52">
        <v>500</v>
      </c>
      <c r="AC22" s="52">
        <v>500</v>
      </c>
      <c r="AD22" s="52">
        <v>500</v>
      </c>
      <c r="AE22" s="52">
        <v>500</v>
      </c>
      <c r="AF22" s="52">
        <v>500</v>
      </c>
      <c r="AV22" s="60">
        <v>1352.0572461670506</v>
      </c>
      <c r="AW22" s="60">
        <v>1353.7510923243321</v>
      </c>
      <c r="AX22" s="60">
        <v>1357.2239098649618</v>
      </c>
      <c r="AY22" s="60">
        <v>1392.0026584284935</v>
      </c>
      <c r="AZ22" s="60">
        <v>1413.6396338366103</v>
      </c>
      <c r="BA22" s="60">
        <v>1430.1442416738303</v>
      </c>
      <c r="BB22" s="60">
        <v>1435.7894545433796</v>
      </c>
      <c r="BC22" s="60">
        <v>1443.0132301882381</v>
      </c>
      <c r="BD22" s="60">
        <v>1440.6602101970068</v>
      </c>
      <c r="BE22" s="60">
        <v>1439.3212782896876</v>
      </c>
      <c r="BF22" s="61">
        <v>1439.3212782896876</v>
      </c>
    </row>
    <row r="23" spans="1:58" ht="15" customHeight="1">
      <c r="A23" s="422"/>
      <c r="B23" s="402" t="s">
        <v>110</v>
      </c>
      <c r="C23" s="30">
        <v>1</v>
      </c>
      <c r="D23" s="135"/>
      <c r="E23" s="133" t="e">
        <f>MIN(1,Input!C18/Input!C19)</f>
        <v>#DIV/0!</v>
      </c>
      <c r="F23" s="137"/>
      <c r="G23" s="77"/>
      <c r="H23" s="77"/>
      <c r="I23" s="77"/>
      <c r="J23" s="77"/>
      <c r="K23" s="77"/>
      <c r="L23" s="77"/>
      <c r="M23" s="77"/>
      <c r="N23" s="77"/>
      <c r="O23" s="77"/>
      <c r="P23" s="77"/>
      <c r="Q23" s="64"/>
      <c r="R23" s="64"/>
      <c r="S23" s="64"/>
      <c r="T23" s="64"/>
      <c r="U23" s="120"/>
      <c r="Y23" s="1"/>
      <c r="Z23" s="2" t="s">
        <v>0</v>
      </c>
      <c r="AA23" s="52">
        <v>48500</v>
      </c>
      <c r="AB23" s="52">
        <v>48500</v>
      </c>
      <c r="AC23" s="52">
        <v>48500</v>
      </c>
      <c r="AD23" s="52">
        <v>48500</v>
      </c>
      <c r="AE23" s="52">
        <v>48500</v>
      </c>
      <c r="AF23" s="52">
        <v>48500</v>
      </c>
      <c r="AV23" s="62">
        <f>AV22*365</f>
        <v>493500.89485097345</v>
      </c>
      <c r="AW23" s="62">
        <f t="shared" ref="AW23:BF23" si="2">AW22*365</f>
        <v>494119.14869838121</v>
      </c>
      <c r="AX23" s="62">
        <f t="shared" si="2"/>
        <v>495386.72710071108</v>
      </c>
      <c r="AY23" s="62">
        <f t="shared" si="2"/>
        <v>508080.97032640013</v>
      </c>
      <c r="AZ23" s="62">
        <f t="shared" si="2"/>
        <v>515978.46635036275</v>
      </c>
      <c r="BA23" s="62">
        <f t="shared" si="2"/>
        <v>522002.64821094804</v>
      </c>
      <c r="BB23" s="62">
        <f t="shared" si="2"/>
        <v>524063.15090833354</v>
      </c>
      <c r="BC23" s="62">
        <f t="shared" si="2"/>
        <v>526699.82901870692</v>
      </c>
      <c r="BD23" s="62">
        <f t="shared" si="2"/>
        <v>525840.9767219075</v>
      </c>
      <c r="BE23" s="62">
        <f t="shared" si="2"/>
        <v>525352.26657573599</v>
      </c>
      <c r="BF23" s="62">
        <f t="shared" si="2"/>
        <v>525352.26657573599</v>
      </c>
    </row>
    <row r="24" spans="1:58" ht="15" customHeight="1">
      <c r="A24" s="422"/>
      <c r="B24" s="403"/>
      <c r="C24" s="31">
        <v>2</v>
      </c>
      <c r="D24" s="135"/>
      <c r="E24" s="136" t="e">
        <f>MIN(1,Input!D18/Input!D19)</f>
        <v>#DIV/0!</v>
      </c>
      <c r="F24" s="137"/>
      <c r="G24" s="77"/>
      <c r="H24" s="77"/>
      <c r="I24" s="77"/>
      <c r="J24" s="77"/>
      <c r="K24" s="77"/>
      <c r="L24" s="77"/>
      <c r="M24" s="77"/>
      <c r="N24" s="77"/>
      <c r="O24" s="77"/>
      <c r="P24" s="77"/>
      <c r="Q24" s="64"/>
      <c r="R24" s="64"/>
      <c r="S24" s="64"/>
      <c r="T24" s="64"/>
      <c r="U24" s="120"/>
      <c r="Y24" s="1"/>
      <c r="Z24" s="2" t="s">
        <v>83</v>
      </c>
      <c r="AA24" s="52">
        <f>AA23/365</f>
        <v>132.87671232876713</v>
      </c>
      <c r="AB24" s="52">
        <f t="shared" ref="AB24:AF24" si="3">AB23/365</f>
        <v>132.87671232876713</v>
      </c>
      <c r="AC24" s="52">
        <f t="shared" si="3"/>
        <v>132.87671232876713</v>
      </c>
      <c r="AD24" s="52">
        <f t="shared" si="3"/>
        <v>132.87671232876713</v>
      </c>
      <c r="AE24" s="52">
        <f t="shared" si="3"/>
        <v>132.87671232876713</v>
      </c>
      <c r="AF24" s="52">
        <f t="shared" si="3"/>
        <v>132.87671232876713</v>
      </c>
    </row>
    <row r="25" spans="1:58" ht="15" customHeight="1">
      <c r="A25" s="422"/>
      <c r="B25" s="403"/>
      <c r="C25" s="31">
        <v>3</v>
      </c>
      <c r="D25" s="135"/>
      <c r="E25" s="136" t="e">
        <f>MIN(1,Input!E18/Input!E19)</f>
        <v>#DIV/0!</v>
      </c>
      <c r="F25" s="137"/>
      <c r="G25" s="77"/>
      <c r="H25" s="77"/>
      <c r="I25" s="77"/>
      <c r="J25" s="77"/>
      <c r="K25" s="77"/>
      <c r="L25" s="77"/>
      <c r="M25" s="77"/>
      <c r="N25" s="77"/>
      <c r="O25" s="77"/>
      <c r="P25" s="77"/>
      <c r="Q25" s="64"/>
      <c r="R25" s="64"/>
      <c r="S25" s="64"/>
      <c r="T25" s="64"/>
      <c r="U25" s="120"/>
      <c r="Y25" s="1"/>
      <c r="Z25" s="2" t="s">
        <v>81</v>
      </c>
      <c r="AA25" s="52">
        <v>600</v>
      </c>
      <c r="AB25" s="52">
        <v>600</v>
      </c>
      <c r="AC25" s="52">
        <v>600</v>
      </c>
      <c r="AD25" s="52">
        <v>600</v>
      </c>
      <c r="AE25" s="52">
        <v>600</v>
      </c>
      <c r="AF25" s="52">
        <v>600</v>
      </c>
    </row>
    <row r="26" spans="1:58" ht="15" customHeight="1">
      <c r="A26" s="422"/>
      <c r="B26" s="403"/>
      <c r="C26" s="31">
        <v>4</v>
      </c>
      <c r="D26" s="135"/>
      <c r="E26" s="136" t="e">
        <f>MIN(1,Input!F18/Input!F19)</f>
        <v>#DIV/0!</v>
      </c>
      <c r="F26" s="137"/>
      <c r="G26" s="77"/>
      <c r="H26" s="77"/>
      <c r="I26" s="77"/>
      <c r="J26" s="77"/>
      <c r="K26" s="77"/>
      <c r="L26" s="77"/>
      <c r="M26" s="77"/>
      <c r="N26" s="77"/>
      <c r="O26" s="77"/>
      <c r="P26" s="77"/>
      <c r="Q26" s="64"/>
      <c r="R26" s="64"/>
      <c r="S26" s="64"/>
      <c r="T26" s="64"/>
      <c r="U26" s="120"/>
      <c r="Y26" s="1"/>
      <c r="Z26" s="2" t="s">
        <v>82</v>
      </c>
      <c r="AA26" s="52">
        <v>900</v>
      </c>
      <c r="AB26" s="52">
        <v>900</v>
      </c>
      <c r="AC26" s="52">
        <v>900</v>
      </c>
      <c r="AD26" s="52">
        <v>900</v>
      </c>
      <c r="AE26" s="52">
        <v>900</v>
      </c>
      <c r="AF26" s="52">
        <v>900</v>
      </c>
    </row>
    <row r="27" spans="1:58" ht="15" customHeight="1">
      <c r="A27" s="422"/>
      <c r="B27" s="403"/>
      <c r="C27" s="31">
        <v>5</v>
      </c>
      <c r="D27" s="135"/>
      <c r="E27" s="136">
        <f>MIN(1,Input!G18/Input!G19)</f>
        <v>0.5</v>
      </c>
      <c r="F27" s="137"/>
      <c r="G27" s="77"/>
      <c r="H27" s="77"/>
      <c r="I27" s="77"/>
      <c r="J27" s="77"/>
      <c r="K27" s="77"/>
      <c r="L27" s="77"/>
      <c r="M27" s="77"/>
      <c r="N27" s="77"/>
      <c r="O27" s="77"/>
      <c r="P27" s="77"/>
      <c r="Q27" s="64"/>
      <c r="R27" s="64"/>
      <c r="S27" s="64"/>
      <c r="T27" s="64"/>
      <c r="U27" s="120"/>
      <c r="Y27" s="1"/>
      <c r="Z27" s="2" t="s">
        <v>1</v>
      </c>
      <c r="AA27" s="52">
        <f>SUM(AA53:AA54)</f>
        <v>400</v>
      </c>
      <c r="AB27" s="52">
        <f t="shared" ref="AB27:AF27" si="4">SUM(AB53:AB54)</f>
        <v>400</v>
      </c>
      <c r="AC27" s="52">
        <f t="shared" si="4"/>
        <v>400</v>
      </c>
      <c r="AD27" s="52">
        <f t="shared" si="4"/>
        <v>900</v>
      </c>
      <c r="AE27" s="52">
        <f t="shared" si="4"/>
        <v>900</v>
      </c>
      <c r="AF27" s="52">
        <f t="shared" si="4"/>
        <v>900</v>
      </c>
    </row>
    <row r="28" spans="1:58" ht="15" customHeight="1" thickBot="1">
      <c r="A28" s="422"/>
      <c r="B28" s="404"/>
      <c r="C28" s="32">
        <v>6</v>
      </c>
      <c r="D28" s="74"/>
      <c r="E28" s="75">
        <f>MIN(1,Input!H18/Input!H19)</f>
        <v>0.5</v>
      </c>
      <c r="F28" s="76"/>
      <c r="G28" s="77"/>
      <c r="H28" s="77"/>
      <c r="I28" s="77"/>
      <c r="J28" s="77"/>
      <c r="K28" s="77"/>
      <c r="L28" s="77"/>
      <c r="M28" s="77"/>
      <c r="N28" s="77"/>
      <c r="O28" s="77"/>
      <c r="P28" s="77"/>
      <c r="Q28" s="64"/>
      <c r="R28" s="64"/>
      <c r="S28" s="64"/>
      <c r="T28" s="64"/>
      <c r="U28" s="120"/>
      <c r="Y28" s="1"/>
      <c r="Z28" s="2" t="s">
        <v>116</v>
      </c>
      <c r="AA28" s="52">
        <v>4</v>
      </c>
      <c r="AB28" s="52">
        <v>4</v>
      </c>
      <c r="AC28" s="52">
        <v>4</v>
      </c>
      <c r="AD28" s="52">
        <v>4</v>
      </c>
      <c r="AE28" s="52">
        <v>4</v>
      </c>
      <c r="AF28" s="52">
        <v>4</v>
      </c>
    </row>
    <row r="29" spans="1:58" ht="15.75" customHeight="1">
      <c r="A29" s="422"/>
      <c r="B29" s="402" t="s">
        <v>104</v>
      </c>
      <c r="C29" s="33">
        <v>1</v>
      </c>
      <c r="D29" s="78"/>
      <c r="E29" s="79"/>
      <c r="F29" s="80"/>
      <c r="G29" s="81"/>
      <c r="H29" s="77"/>
      <c r="I29" s="77"/>
      <c r="J29" s="77"/>
      <c r="K29" s="77"/>
      <c r="L29" s="77"/>
      <c r="M29" s="77"/>
      <c r="N29" s="77"/>
      <c r="O29" s="77"/>
      <c r="P29" s="77"/>
      <c r="Q29" s="64"/>
      <c r="R29" s="64"/>
      <c r="S29" s="64"/>
      <c r="T29" s="64"/>
      <c r="U29" s="120"/>
      <c r="Y29" s="1"/>
      <c r="Z29" s="2" t="s">
        <v>117</v>
      </c>
      <c r="AA29" s="52">
        <v>4</v>
      </c>
      <c r="AB29" s="52">
        <v>4</v>
      </c>
      <c r="AC29" s="52">
        <v>5</v>
      </c>
      <c r="AD29" s="52">
        <v>5</v>
      </c>
      <c r="AE29" s="52">
        <v>5</v>
      </c>
      <c r="AF29" s="52">
        <v>5</v>
      </c>
    </row>
    <row r="30" spans="1:58" ht="15" customHeight="1">
      <c r="A30" s="422"/>
      <c r="B30" s="403"/>
      <c r="C30" s="34">
        <v>2</v>
      </c>
      <c r="D30" s="82"/>
      <c r="E30" s="83"/>
      <c r="F30" s="84"/>
      <c r="G30" s="81"/>
      <c r="H30" s="77"/>
      <c r="I30" s="77"/>
      <c r="J30" s="77"/>
      <c r="K30" s="77"/>
      <c r="L30" s="77"/>
      <c r="M30" s="77"/>
      <c r="N30" s="77"/>
      <c r="O30" s="77"/>
      <c r="P30" s="77"/>
      <c r="Q30" s="64"/>
      <c r="R30" s="64"/>
      <c r="S30" s="64"/>
      <c r="T30" s="64"/>
      <c r="U30" s="120"/>
      <c r="Y30" s="1"/>
      <c r="Z30" s="21" t="s">
        <v>4</v>
      </c>
      <c r="AA30" s="52"/>
      <c r="AB30" s="52"/>
      <c r="AC30" s="52"/>
      <c r="AD30" s="52"/>
      <c r="AE30" s="52"/>
      <c r="AF30" s="52"/>
      <c r="AU30" t="s">
        <v>119</v>
      </c>
      <c r="AV30" s="62">
        <f>AV17/2*0.54</f>
        <v>89526.27235580972</v>
      </c>
      <c r="AW30" s="62">
        <f t="shared" ref="AW30:BF30" si="5">AW17/2*0.54</f>
        <v>89613.170846668203</v>
      </c>
      <c r="AX30" s="62">
        <f t="shared" si="5"/>
        <v>89900.971215743863</v>
      </c>
      <c r="AY30" s="62">
        <f t="shared" si="5"/>
        <v>92361.683347475933</v>
      </c>
      <c r="AZ30" s="62">
        <f t="shared" si="5"/>
        <v>93116.476486681335</v>
      </c>
      <c r="BA30" s="62">
        <f t="shared" si="5"/>
        <v>94090.270522174411</v>
      </c>
      <c r="BB30" s="62">
        <f t="shared" si="5"/>
        <v>94489.719575089563</v>
      </c>
      <c r="BC30" s="62">
        <f t="shared" si="5"/>
        <v>94613.533713566518</v>
      </c>
      <c r="BD30" s="62">
        <f t="shared" si="5"/>
        <v>94449.750647309003</v>
      </c>
      <c r="BE30" s="62">
        <f t="shared" si="5"/>
        <v>94357.723338372205</v>
      </c>
      <c r="BF30" s="62">
        <f t="shared" si="5"/>
        <v>93525.122690348275</v>
      </c>
    </row>
    <row r="31" spans="1:58" ht="15" customHeight="1">
      <c r="A31" s="422"/>
      <c r="B31" s="403"/>
      <c r="C31" s="34">
        <v>3</v>
      </c>
      <c r="D31" s="85"/>
      <c r="E31" s="86"/>
      <c r="F31" s="87"/>
      <c r="G31" s="81"/>
      <c r="H31" s="64"/>
      <c r="I31" s="64"/>
      <c r="J31" s="64"/>
      <c r="K31" s="64"/>
      <c r="L31" s="64"/>
      <c r="M31" s="64"/>
      <c r="N31" s="64"/>
      <c r="O31" s="64"/>
      <c r="P31" s="64"/>
      <c r="Q31" s="64"/>
      <c r="R31" s="64"/>
      <c r="S31" s="64"/>
      <c r="T31" s="64"/>
      <c r="U31" s="120"/>
      <c r="Y31" s="4" t="s">
        <v>5</v>
      </c>
      <c r="Z31" s="2" t="s">
        <v>7</v>
      </c>
      <c r="AA31" s="52">
        <v>600</v>
      </c>
      <c r="AB31" s="52">
        <v>600</v>
      </c>
      <c r="AC31" s="52">
        <v>600</v>
      </c>
      <c r="AD31" s="52">
        <v>600</v>
      </c>
      <c r="AE31" s="52">
        <v>600</v>
      </c>
      <c r="AF31" s="52">
        <v>600</v>
      </c>
      <c r="AU31" t="s">
        <v>120</v>
      </c>
      <c r="AV31" s="62">
        <f>AV17/2*1.46</f>
        <v>242052.51414718924</v>
      </c>
      <c r="AW31" s="62">
        <f t="shared" ref="AW31:BF31" si="6">AW17/2*1.46</f>
        <v>242287.46191876955</v>
      </c>
      <c r="AX31" s="62">
        <f t="shared" si="6"/>
        <v>243065.58884256671</v>
      </c>
      <c r="AY31" s="62">
        <f t="shared" si="6"/>
        <v>249718.62534687936</v>
      </c>
      <c r="AZ31" s="62">
        <f t="shared" si="6"/>
        <v>251759.36235287914</v>
      </c>
      <c r="BA31" s="62">
        <f t="shared" si="6"/>
        <v>254392.21289328634</v>
      </c>
      <c r="BB31" s="62">
        <f t="shared" si="6"/>
        <v>255472.20477709398</v>
      </c>
      <c r="BC31" s="62">
        <f t="shared" si="6"/>
        <v>255806.96152186501</v>
      </c>
      <c r="BD31" s="62">
        <f t="shared" si="6"/>
        <v>255364.1406390206</v>
      </c>
      <c r="BE31" s="62">
        <f t="shared" si="6"/>
        <v>255115.3260630063</v>
      </c>
      <c r="BF31" s="62">
        <f t="shared" si="6"/>
        <v>252864.22060723792</v>
      </c>
    </row>
    <row r="32" spans="1:58" ht="15" customHeight="1">
      <c r="A32" s="422"/>
      <c r="B32" s="403"/>
      <c r="C32" s="34">
        <v>4</v>
      </c>
      <c r="D32" s="85"/>
      <c r="E32" s="86"/>
      <c r="F32" s="87"/>
      <c r="G32" s="81"/>
      <c r="H32" s="64"/>
      <c r="I32" s="64"/>
      <c r="J32" s="64"/>
      <c r="K32" s="64"/>
      <c r="L32" s="64"/>
      <c r="M32" s="64"/>
      <c r="N32" s="64"/>
      <c r="O32" s="64"/>
      <c r="P32" s="64"/>
      <c r="Q32" s="64"/>
      <c r="R32" s="64"/>
      <c r="S32" s="64"/>
      <c r="T32" s="64"/>
      <c r="U32" s="120"/>
      <c r="Y32" s="4" t="s">
        <v>5</v>
      </c>
      <c r="Z32" s="2" t="s">
        <v>8</v>
      </c>
      <c r="AA32" s="52">
        <v>250</v>
      </c>
      <c r="AB32" s="52">
        <v>250</v>
      </c>
      <c r="AC32" s="52">
        <v>250</v>
      </c>
      <c r="AD32" s="52">
        <v>250</v>
      </c>
      <c r="AE32" s="52">
        <v>250</v>
      </c>
      <c r="AF32" s="52">
        <v>250</v>
      </c>
      <c r="AU32" t="s">
        <v>122</v>
      </c>
      <c r="AV32" s="62">
        <f>AV30/183</f>
        <v>489.21460303721159</v>
      </c>
      <c r="AW32" s="62">
        <f t="shared" ref="AW32:BF32" si="7">AW30/183</f>
        <v>489.68945817851477</v>
      </c>
      <c r="AX32" s="62">
        <f t="shared" si="7"/>
        <v>491.26213779095008</v>
      </c>
      <c r="AY32" s="62">
        <f t="shared" si="7"/>
        <v>504.70865217199963</v>
      </c>
      <c r="AZ32" s="62">
        <f t="shared" si="7"/>
        <v>508.83320484525319</v>
      </c>
      <c r="BA32" s="62">
        <f t="shared" si="7"/>
        <v>514.15448372772903</v>
      </c>
      <c r="BB32" s="62">
        <f t="shared" si="7"/>
        <v>516.33726543764783</v>
      </c>
      <c r="BC32" s="62">
        <f t="shared" si="7"/>
        <v>517.01384542932522</v>
      </c>
      <c r="BD32" s="62">
        <f t="shared" si="7"/>
        <v>516.11885599622406</v>
      </c>
      <c r="BE32" s="62">
        <f t="shared" si="7"/>
        <v>515.61597452662409</v>
      </c>
      <c r="BF32" s="62">
        <f t="shared" si="7"/>
        <v>511.06624420955342</v>
      </c>
    </row>
    <row r="33" spans="1:58" ht="15" customHeight="1">
      <c r="A33" s="422"/>
      <c r="B33" s="403"/>
      <c r="C33" s="34">
        <v>5</v>
      </c>
      <c r="D33" s="85"/>
      <c r="E33" s="86"/>
      <c r="F33" s="87"/>
      <c r="G33" s="81"/>
      <c r="H33" s="64"/>
      <c r="I33" s="64"/>
      <c r="J33" s="64"/>
      <c r="K33" s="64"/>
      <c r="L33" s="64"/>
      <c r="M33" s="64"/>
      <c r="N33" s="64"/>
      <c r="O33" s="64"/>
      <c r="P33" s="64"/>
      <c r="Q33" s="64"/>
      <c r="R33" s="64"/>
      <c r="S33" s="64"/>
      <c r="T33" s="64"/>
      <c r="U33" s="120"/>
      <c r="Y33" s="4" t="s">
        <v>5</v>
      </c>
      <c r="Z33" s="10" t="s">
        <v>9</v>
      </c>
      <c r="AA33" s="56">
        <v>0</v>
      </c>
      <c r="AB33" s="56">
        <v>0</v>
      </c>
      <c r="AC33" s="56">
        <v>100</v>
      </c>
      <c r="AD33" s="56">
        <v>100</v>
      </c>
      <c r="AE33" s="56">
        <v>100</v>
      </c>
      <c r="AF33" s="56">
        <v>100</v>
      </c>
      <c r="AU33" t="s">
        <v>121</v>
      </c>
      <c r="AV33" s="62">
        <f>AV31/182</f>
        <v>1329.9588689406003</v>
      </c>
      <c r="AW33" s="62">
        <f t="shared" ref="AW33:BF33" si="8">AW31/182</f>
        <v>1331.24979076247</v>
      </c>
      <c r="AX33" s="62">
        <f t="shared" si="8"/>
        <v>1335.5252134206962</v>
      </c>
      <c r="AY33" s="62">
        <f t="shared" si="8"/>
        <v>1372.0803590487876</v>
      </c>
      <c r="AZ33" s="62">
        <f t="shared" si="8"/>
        <v>1383.2931997410942</v>
      </c>
      <c r="BA33" s="62">
        <f t="shared" si="8"/>
        <v>1397.7594115015734</v>
      </c>
      <c r="BB33" s="62">
        <f t="shared" si="8"/>
        <v>1403.6934328411758</v>
      </c>
      <c r="BC33" s="62">
        <f t="shared" si="8"/>
        <v>1405.5327556146428</v>
      </c>
      <c r="BD33" s="62">
        <f t="shared" si="8"/>
        <v>1403.0996738407725</v>
      </c>
      <c r="BE33" s="62">
        <f t="shared" si="8"/>
        <v>1401.732560785749</v>
      </c>
      <c r="BF33" s="62">
        <f t="shared" si="8"/>
        <v>1389.3638494903182</v>
      </c>
    </row>
    <row r="34" spans="1:58" ht="15" customHeight="1" thickBot="1">
      <c r="A34" s="422"/>
      <c r="B34" s="404"/>
      <c r="C34" s="35">
        <v>6</v>
      </c>
      <c r="D34" s="88"/>
      <c r="E34" s="89"/>
      <c r="F34" s="90"/>
      <c r="G34" s="81"/>
      <c r="H34" s="64"/>
      <c r="I34" s="64"/>
      <c r="J34" s="64"/>
      <c r="K34" s="64"/>
      <c r="L34" s="64"/>
      <c r="M34" s="64"/>
      <c r="N34" s="64"/>
      <c r="O34" s="64"/>
      <c r="P34" s="64"/>
      <c r="Q34" s="64"/>
      <c r="R34" s="64"/>
      <c r="S34" s="64"/>
      <c r="T34" s="64"/>
      <c r="U34" s="120"/>
      <c r="Y34" s="9" t="s">
        <v>6</v>
      </c>
      <c r="Z34" s="12" t="s">
        <v>11</v>
      </c>
      <c r="AA34" s="53">
        <v>0</v>
      </c>
      <c r="AB34" s="53">
        <v>0</v>
      </c>
      <c r="AC34" s="53">
        <v>0</v>
      </c>
      <c r="AD34" s="57">
        <v>0</v>
      </c>
      <c r="AE34" s="57">
        <v>200</v>
      </c>
      <c r="AF34" s="57">
        <v>200</v>
      </c>
    </row>
    <row r="35" spans="1:58" ht="15" customHeight="1">
      <c r="A35" s="422"/>
      <c r="B35" s="402" t="s">
        <v>106</v>
      </c>
      <c r="C35" s="33">
        <v>1</v>
      </c>
      <c r="D35" s="91"/>
      <c r="E35" s="92"/>
      <c r="F35" s="93"/>
      <c r="G35" s="81"/>
      <c r="H35" s="64"/>
      <c r="I35" s="64"/>
      <c r="J35" s="64"/>
      <c r="K35" s="64"/>
      <c r="L35" s="64"/>
      <c r="M35" s="64"/>
      <c r="N35" s="64"/>
      <c r="O35" s="64"/>
      <c r="P35" s="64"/>
      <c r="Q35" s="64"/>
      <c r="R35" s="64"/>
      <c r="S35" s="64"/>
      <c r="T35" s="64"/>
      <c r="U35" s="120"/>
      <c r="Y35" s="5"/>
      <c r="Z35" s="5"/>
      <c r="AA35" s="52"/>
      <c r="AB35" s="52"/>
      <c r="AC35" s="52"/>
      <c r="AD35" s="52"/>
      <c r="AE35" s="52"/>
      <c r="AF35" s="52"/>
    </row>
    <row r="36" spans="1:58" ht="15.75" customHeight="1">
      <c r="A36" s="422"/>
      <c r="B36" s="403"/>
      <c r="C36" s="34">
        <v>2</v>
      </c>
      <c r="D36" s="85"/>
      <c r="E36" s="86"/>
      <c r="F36" s="87"/>
      <c r="G36" s="81"/>
      <c r="H36" s="64"/>
      <c r="I36" s="64"/>
      <c r="J36" s="64"/>
      <c r="K36" s="64"/>
      <c r="L36" s="64"/>
      <c r="M36" s="64"/>
      <c r="N36" s="64"/>
      <c r="O36" s="64"/>
      <c r="P36" s="64"/>
      <c r="Q36" s="64"/>
      <c r="R36" s="64"/>
      <c r="S36" s="64"/>
      <c r="T36" s="64"/>
      <c r="U36" s="120"/>
      <c r="Y36" s="1"/>
      <c r="Z36" s="21" t="s">
        <v>12</v>
      </c>
      <c r="AA36" s="52"/>
      <c r="AB36" s="52"/>
      <c r="AC36" s="52"/>
      <c r="AD36" s="52"/>
      <c r="AE36" s="52"/>
      <c r="AF36" s="52"/>
    </row>
    <row r="37" spans="1:58" ht="15" customHeight="1">
      <c r="A37" s="422"/>
      <c r="B37" s="403"/>
      <c r="C37" s="34">
        <v>3</v>
      </c>
      <c r="D37" s="85"/>
      <c r="E37" s="86"/>
      <c r="F37" s="87"/>
      <c r="G37" s="81"/>
      <c r="H37" s="64"/>
      <c r="I37" s="64"/>
      <c r="J37" s="64"/>
      <c r="K37" s="64"/>
      <c r="L37" s="64"/>
      <c r="M37" s="64"/>
      <c r="N37" s="64"/>
      <c r="O37" s="64"/>
      <c r="P37" s="64"/>
      <c r="Q37" s="64"/>
      <c r="R37" s="64"/>
      <c r="S37" s="64"/>
      <c r="T37" s="64"/>
      <c r="U37" s="120"/>
      <c r="Y37" s="1"/>
      <c r="Z37" s="5"/>
      <c r="AA37" s="52" t="s">
        <v>18</v>
      </c>
      <c r="AB37" s="52" t="s">
        <v>18</v>
      </c>
      <c r="AC37" s="52" t="s">
        <v>18</v>
      </c>
      <c r="AD37" s="52" t="s">
        <v>18</v>
      </c>
      <c r="AE37" s="52" t="s">
        <v>18</v>
      </c>
      <c r="AF37" s="52" t="s">
        <v>18</v>
      </c>
    </row>
    <row r="38" spans="1:58" ht="15" customHeight="1">
      <c r="A38" s="422"/>
      <c r="B38" s="403"/>
      <c r="C38" s="34">
        <v>4</v>
      </c>
      <c r="D38" s="85"/>
      <c r="E38" s="86"/>
      <c r="F38" s="87"/>
      <c r="G38" s="81"/>
      <c r="H38" s="64"/>
      <c r="I38" s="64"/>
      <c r="J38" s="64"/>
      <c r="K38" s="64"/>
      <c r="L38" s="64"/>
      <c r="M38" s="64"/>
      <c r="N38" s="64"/>
      <c r="O38" s="64"/>
      <c r="P38" s="64"/>
      <c r="Q38" s="64"/>
      <c r="R38" s="64"/>
      <c r="S38" s="64"/>
      <c r="T38" s="64"/>
      <c r="U38" s="120"/>
      <c r="Y38" s="1"/>
      <c r="Z38" s="21" t="s">
        <v>13</v>
      </c>
      <c r="AA38" s="52"/>
      <c r="AB38" s="52"/>
      <c r="AC38" s="52"/>
      <c r="AD38" s="52"/>
      <c r="AE38" s="52"/>
      <c r="AF38" s="52"/>
    </row>
    <row r="39" spans="1:58" ht="15" customHeight="1">
      <c r="A39" s="422"/>
      <c r="B39" s="403"/>
      <c r="C39" s="34">
        <v>5</v>
      </c>
      <c r="D39" s="85"/>
      <c r="E39" s="86"/>
      <c r="F39" s="87"/>
      <c r="G39" s="81"/>
      <c r="H39" s="64"/>
      <c r="I39" s="64"/>
      <c r="J39" s="64"/>
      <c r="K39" s="64"/>
      <c r="L39" s="64"/>
      <c r="M39" s="64"/>
      <c r="N39" s="64"/>
      <c r="O39" s="64"/>
      <c r="P39" s="64"/>
      <c r="Q39" s="64"/>
      <c r="R39" s="64"/>
      <c r="S39" s="64"/>
      <c r="T39" s="64"/>
      <c r="U39" s="120"/>
      <c r="Y39" s="4" t="s">
        <v>5</v>
      </c>
      <c r="Z39" s="5" t="s">
        <v>10</v>
      </c>
      <c r="AA39" s="52">
        <v>800</v>
      </c>
      <c r="AB39" s="52">
        <v>800</v>
      </c>
      <c r="AC39" s="52">
        <v>800</v>
      </c>
      <c r="AD39" s="52">
        <v>800</v>
      </c>
      <c r="AE39" s="52">
        <v>800</v>
      </c>
      <c r="AF39" s="52">
        <v>800</v>
      </c>
    </row>
    <row r="40" spans="1:58" ht="15" customHeight="1" thickBot="1">
      <c r="A40" s="422"/>
      <c r="B40" s="404"/>
      <c r="C40" s="35">
        <v>6</v>
      </c>
      <c r="D40" s="88"/>
      <c r="E40" s="89"/>
      <c r="F40" s="90"/>
      <c r="G40" s="94"/>
      <c r="H40" s="65"/>
      <c r="I40" s="64"/>
      <c r="J40" s="64"/>
      <c r="K40" s="64"/>
      <c r="L40" s="64"/>
      <c r="M40" s="64"/>
      <c r="N40" s="64"/>
      <c r="O40" s="64"/>
      <c r="P40" s="64"/>
      <c r="Q40" s="64"/>
      <c r="R40" s="65"/>
      <c r="S40" s="65"/>
      <c r="T40" s="65"/>
      <c r="U40" s="122"/>
      <c r="Y40" s="1"/>
      <c r="Z40" s="22" t="s">
        <v>14</v>
      </c>
      <c r="AA40" s="52"/>
      <c r="AB40" s="52"/>
      <c r="AC40" s="52"/>
      <c r="AD40" s="52"/>
      <c r="AE40" s="52"/>
      <c r="AF40" s="52"/>
    </row>
    <row r="41" spans="1:58" ht="15" customHeight="1">
      <c r="A41" s="422"/>
      <c r="B41" s="402" t="s">
        <v>103</v>
      </c>
      <c r="C41" s="33">
        <v>1</v>
      </c>
      <c r="D41" s="95">
        <f>(MIN(AA57,AA19+(((AA28-1)/AA28)*AA55)+AA58-(MIN(AA25,AA23/182))-AA22))/AA22</f>
        <v>3.3200466656631034</v>
      </c>
      <c r="E41" s="96">
        <f>(MIN(AA57,AA19+(((AA29-1)/AA29)*AA56)+AA58-(MIN(AA25,AA23/182))-AA22))/AA22</f>
        <v>3.3200466656631034</v>
      </c>
      <c r="F41" s="97">
        <f>E41-D41</f>
        <v>0</v>
      </c>
      <c r="G41" s="67" t="str">
        <f>IF(F41&gt;0,"Alloc Possible","Not Possible")</f>
        <v>Not Possible</v>
      </c>
      <c r="H41" s="98">
        <v>0</v>
      </c>
      <c r="I41" s="99">
        <f>MIN(H41,AA$33)</f>
        <v>0</v>
      </c>
      <c r="J41" s="77"/>
      <c r="K41" s="100">
        <f>(MIN(AA57,AA19+(((AA29-1)/AA29)*AA56)+AA58-(MIN(AA25,AA23/182))-AA22-H41))/AA22</f>
        <v>3.3200466656631034</v>
      </c>
      <c r="L41" s="100"/>
      <c r="M41" s="100"/>
      <c r="N41" s="100"/>
      <c r="O41" s="64"/>
      <c r="P41" s="64"/>
      <c r="Q41" s="64"/>
      <c r="R41" s="128"/>
      <c r="S41" s="126"/>
      <c r="T41" s="178"/>
      <c r="U41" s="127"/>
      <c r="Y41" s="9" t="s">
        <v>6</v>
      </c>
      <c r="Z41" s="5" t="s">
        <v>19</v>
      </c>
      <c r="AA41" s="52">
        <v>700</v>
      </c>
      <c r="AB41" s="52">
        <v>700</v>
      </c>
      <c r="AC41" s="52">
        <v>700</v>
      </c>
      <c r="AD41" s="52">
        <v>700</v>
      </c>
      <c r="AE41" s="52">
        <v>700</v>
      </c>
      <c r="AF41" s="52">
        <v>700</v>
      </c>
    </row>
    <row r="42" spans="1:58" ht="15" customHeight="1">
      <c r="A42" s="422"/>
      <c r="B42" s="403"/>
      <c r="C42" s="34">
        <v>2</v>
      </c>
      <c r="D42" s="101">
        <f>(MIN(AB57,AB19+(((AB28-1)/AB28)*AB55)+AB58-(MIN(AB25,AB23/182))-AB22))/AB22</f>
        <v>3.3170329670329664</v>
      </c>
      <c r="E42" s="102">
        <f>(MIN(AB57,AB19+(((AB29-1)/AB29)*AB56)+AB58-(MIN(AB25,AB23/182))-AB22))/AB22</f>
        <v>3.3170329670329664</v>
      </c>
      <c r="F42" s="103">
        <f t="shared" ref="F42:F46" si="9">E42-D42</f>
        <v>0</v>
      </c>
      <c r="G42" s="68" t="str">
        <f t="shared" ref="G42:G58" si="10">IF(F42&gt;0,"Alloc Possible","Not Possible")</f>
        <v>Not Possible</v>
      </c>
      <c r="H42" s="104">
        <v>0</v>
      </c>
      <c r="I42" s="105">
        <f>MIN(H42,AB$33)</f>
        <v>0</v>
      </c>
      <c r="J42" s="77"/>
      <c r="K42" s="100">
        <f>(MIN(AB57,AB19+(((AB29-1)/AB29)*AB56)+AB58-(MIN(AB25,AB23/182))-AB22-H42))/AB22</f>
        <v>3.3170329670329664</v>
      </c>
      <c r="L42" s="100"/>
      <c r="M42" s="100"/>
      <c r="N42" s="100"/>
      <c r="O42" s="64"/>
      <c r="P42" s="64"/>
      <c r="Q42" s="64"/>
      <c r="R42" s="85"/>
      <c r="S42" s="86"/>
      <c r="T42" s="165"/>
      <c r="U42" s="87"/>
      <c r="Y42" s="1"/>
      <c r="Z42" s="21" t="s">
        <v>15</v>
      </c>
      <c r="AA42" s="52"/>
      <c r="AB42" s="52"/>
      <c r="AC42" s="52"/>
      <c r="AD42" s="52"/>
      <c r="AE42" s="52"/>
      <c r="AF42" s="52"/>
    </row>
    <row r="43" spans="1:58" ht="15.75" customHeight="1">
      <c r="A43" s="422"/>
      <c r="B43" s="403"/>
      <c r="C43" s="34">
        <v>3</v>
      </c>
      <c r="D43" s="101">
        <f>(MIN(AC57,AC19+(((AC28-1)/AC28)*AC55)+AC58-(MIN(AC25,AC23/182))-AC22))/AC22</f>
        <v>3.3197726930603642</v>
      </c>
      <c r="E43" s="102">
        <f>(MIN(AC57,AC19+(((AC29-1)/AC29)*AC56)+AC58-(MIN(AC25,AC23/182))-AC22))/AC22</f>
        <v>3.4</v>
      </c>
      <c r="F43" s="103">
        <f t="shared" si="9"/>
        <v>8.0227306939635756E-2</v>
      </c>
      <c r="G43" s="68" t="str">
        <f>IF(F43&gt;0,"Alloc Possible","Not Possible")</f>
        <v>Alloc Possible</v>
      </c>
      <c r="H43" s="104">
        <v>214.98634653018212</v>
      </c>
      <c r="I43" s="105">
        <f>MIN(H43,AC$33)</f>
        <v>100</v>
      </c>
      <c r="J43" s="64"/>
      <c r="K43" s="100">
        <f>(MIN(AC57,AC19+(((AC29-1)/AC29)*AC56)+AC58-(MIN(AC25,AC23/182))-AC22-H43))/AC22</f>
        <v>3.3197999999999999</v>
      </c>
      <c r="L43" s="100"/>
      <c r="M43" s="100"/>
      <c r="N43" s="100"/>
      <c r="O43" s="64"/>
      <c r="P43" s="64"/>
      <c r="Q43" s="64"/>
      <c r="R43" s="85"/>
      <c r="S43" s="86"/>
      <c r="T43" s="165"/>
      <c r="U43" s="87"/>
      <c r="Y43" s="1"/>
      <c r="Z43" s="1"/>
      <c r="AA43" s="52" t="s">
        <v>18</v>
      </c>
      <c r="AB43" s="52" t="s">
        <v>18</v>
      </c>
      <c r="AC43" s="52" t="s">
        <v>18</v>
      </c>
      <c r="AD43" s="52" t="s">
        <v>18</v>
      </c>
      <c r="AE43" s="52" t="s">
        <v>18</v>
      </c>
      <c r="AF43" s="52" t="s">
        <v>18</v>
      </c>
    </row>
    <row r="44" spans="1:58" ht="15" customHeight="1">
      <c r="A44" s="422"/>
      <c r="B44" s="403"/>
      <c r="C44" s="34">
        <v>4</v>
      </c>
      <c r="D44" s="101">
        <f>(MIN(AD57,AD19+(((AD28-1)/AD28)*AD55)+AD58-(MIN(AD25,AD23/182))-AD22))/AD22</f>
        <v>3.4</v>
      </c>
      <c r="E44" s="102">
        <f>(MIN(AD57,AD19+(((AD29-1)/AD29)*AD56)+AD58-(MIN(AD25,AD23/182))-AD22))/AD22</f>
        <v>3.4</v>
      </c>
      <c r="F44" s="103">
        <f t="shared" si="9"/>
        <v>0</v>
      </c>
      <c r="G44" s="68" t="str">
        <f t="shared" si="10"/>
        <v>Not Possible</v>
      </c>
      <c r="H44" s="104">
        <v>0</v>
      </c>
      <c r="I44" s="105">
        <f>MIN(H44,AD$33)</f>
        <v>0</v>
      </c>
      <c r="J44" s="64"/>
      <c r="K44" s="100">
        <f>(MIN(AD57,AD19+(((AD29-1)/AD29)*AD56)+AD58-(MIN(AD25,AD23/182))-AD22-H44))/AD22</f>
        <v>3.4</v>
      </c>
      <c r="L44" s="100"/>
      <c r="M44" s="100"/>
      <c r="N44" s="100"/>
      <c r="O44" s="64"/>
      <c r="P44" s="64"/>
      <c r="Q44" s="64"/>
      <c r="R44" s="85"/>
      <c r="S44" s="86"/>
      <c r="T44" s="165"/>
      <c r="U44" s="87"/>
      <c r="Y44" s="1"/>
      <c r="Z44" s="21" t="s">
        <v>65</v>
      </c>
      <c r="AA44" s="52"/>
      <c r="AB44" s="52"/>
      <c r="AC44" s="52"/>
      <c r="AD44" s="52"/>
      <c r="AE44" s="52"/>
      <c r="AF44" s="52"/>
    </row>
    <row r="45" spans="1:58" ht="15" customHeight="1">
      <c r="A45" s="422"/>
      <c r="B45" s="403"/>
      <c r="C45" s="34">
        <v>5</v>
      </c>
      <c r="D45" s="101">
        <f>(MIN(AE57,AE19+(((AE28-1)/AE28)*AE55)+AE58-(MIN(AE25,AE23/182))-AE22))/AE22</f>
        <v>3.8</v>
      </c>
      <c r="E45" s="102">
        <f>(MIN(AE57,AE19+(((AE29-1)/AE29)*AE56)+AE58-(MIN(AE25,AE23/182))-AE22))/AE22</f>
        <v>3.8</v>
      </c>
      <c r="F45" s="103">
        <f t="shared" si="9"/>
        <v>0</v>
      </c>
      <c r="G45" s="68" t="str">
        <f t="shared" si="10"/>
        <v>Not Possible</v>
      </c>
      <c r="H45" s="104">
        <v>0</v>
      </c>
      <c r="I45" s="105">
        <f>MIN(H45,AE$33)</f>
        <v>0</v>
      </c>
      <c r="J45" s="64"/>
      <c r="K45" s="100">
        <f>(MIN(AE57,AE19+(((AE29-1)/AE29)*AE56)+AE58-(MIN(AE25,AE23/182))-AE22-H45))/AE22</f>
        <v>3.8</v>
      </c>
      <c r="L45" s="100"/>
      <c r="M45" s="100"/>
      <c r="N45" s="100"/>
      <c r="O45" s="64"/>
      <c r="P45" s="64"/>
      <c r="Q45" s="64"/>
      <c r="R45" s="85"/>
      <c r="S45" s="86"/>
      <c r="T45" s="165"/>
      <c r="U45" s="87"/>
      <c r="Y45" s="4" t="s">
        <v>5</v>
      </c>
      <c r="Z45" s="5" t="s">
        <v>16</v>
      </c>
      <c r="AA45" s="52">
        <v>250</v>
      </c>
      <c r="AB45" s="52">
        <v>250</v>
      </c>
      <c r="AC45" s="52">
        <v>250</v>
      </c>
      <c r="AD45" s="52">
        <v>250</v>
      </c>
      <c r="AE45" s="52">
        <v>250</v>
      </c>
      <c r="AF45" s="52">
        <v>250</v>
      </c>
    </row>
    <row r="46" spans="1:58" ht="15" customHeight="1" thickBot="1">
      <c r="A46" s="422"/>
      <c r="B46" s="404"/>
      <c r="C46" s="35">
        <v>6</v>
      </c>
      <c r="D46" s="106">
        <f>(MIN(AF57,AF19+(((AF28-1)/AF28)*AF55)+AF58-(MIN(AF25,AF23/182))-AF22))/AF22</f>
        <v>3.8</v>
      </c>
      <c r="E46" s="107">
        <f>(MIN(AF57,AF19+(((AF29-1)/AF29)*AF56)+AF58-(MIN(AF25,AF23/182))-AF22))/AF22</f>
        <v>3.8</v>
      </c>
      <c r="F46" s="108">
        <f t="shared" si="9"/>
        <v>0</v>
      </c>
      <c r="G46" s="69" t="str">
        <f t="shared" si="10"/>
        <v>Not Possible</v>
      </c>
      <c r="H46" s="109">
        <v>0</v>
      </c>
      <c r="I46" s="110">
        <f>MIN(H46,AF$33)</f>
        <v>0</v>
      </c>
      <c r="J46" s="64"/>
      <c r="K46" s="100">
        <f>(MIN(AF57,AF19+(((AF29-1)/AF29)*AF56)+AF58-(MIN(AF25,AF23/182))-AF22-H46))/AF22</f>
        <v>3.8</v>
      </c>
      <c r="L46" s="100"/>
      <c r="M46" s="100"/>
      <c r="N46" s="100"/>
      <c r="O46" s="64"/>
      <c r="P46" s="64"/>
      <c r="Q46" s="64"/>
      <c r="R46" s="88"/>
      <c r="S46" s="89"/>
      <c r="T46" s="166"/>
      <c r="U46" s="90"/>
      <c r="Y46" s="9" t="s">
        <v>6</v>
      </c>
      <c r="Z46" s="5" t="s">
        <v>17</v>
      </c>
      <c r="AA46" s="52">
        <v>1000</v>
      </c>
      <c r="AB46" s="52">
        <v>1000</v>
      </c>
      <c r="AC46" s="52">
        <v>1000</v>
      </c>
      <c r="AD46" s="52">
        <v>1000</v>
      </c>
      <c r="AE46" s="52">
        <v>1000</v>
      </c>
      <c r="AF46" s="52">
        <v>1000</v>
      </c>
    </row>
    <row r="47" spans="1:58" ht="15" customHeight="1">
      <c r="A47" s="422"/>
      <c r="B47" s="402" t="s">
        <v>102</v>
      </c>
      <c r="C47" s="33">
        <v>1</v>
      </c>
      <c r="D47" s="95">
        <f>(MIN(AA57,AA19+(((AA28-1)/AA28)*AA55)+AA58+(MIN(AA26,AA23/183))-AA21))/AA21</f>
        <v>0.99372901608847419</v>
      </c>
      <c r="E47" s="96">
        <f>(MIN(AA57,AA19+(((AA29-1)/AA29)*AA56)+AA58+(MIN(AA26,AA23/183))-AA21))/AA21</f>
        <v>0.99372901608847419</v>
      </c>
      <c r="F47" s="97">
        <f>E47-D47</f>
        <v>0</v>
      </c>
      <c r="G47" s="70" t="str">
        <f t="shared" si="10"/>
        <v>Not Possible</v>
      </c>
      <c r="H47" s="111">
        <v>0</v>
      </c>
      <c r="I47" s="99">
        <f>MIN(H47,AA$33)</f>
        <v>0</v>
      </c>
      <c r="J47" s="64"/>
      <c r="K47" s="100">
        <f>(MIN(AA57,AA19+(((AA29-1)/AA29)*AA56)+AA58+(MIN(AA26,AA23/183))-AA21-H47))/AA21</f>
        <v>0.99372901608847419</v>
      </c>
      <c r="L47" s="100"/>
      <c r="M47" s="100"/>
      <c r="N47" s="100"/>
      <c r="O47" s="64"/>
      <c r="P47" s="64"/>
      <c r="Q47" s="64"/>
      <c r="R47" s="91"/>
      <c r="S47" s="92"/>
      <c r="T47" s="164"/>
      <c r="U47" s="93"/>
      <c r="Y47" s="1"/>
      <c r="Z47" s="21" t="s">
        <v>23</v>
      </c>
      <c r="AA47" s="52"/>
      <c r="AB47" s="52"/>
      <c r="AC47" s="52"/>
      <c r="AD47" s="52"/>
      <c r="AE47" s="52"/>
      <c r="AF47" s="52"/>
    </row>
    <row r="48" spans="1:58" ht="15" customHeight="1">
      <c r="A48" s="422"/>
      <c r="B48" s="403"/>
      <c r="C48" s="34">
        <v>2</v>
      </c>
      <c r="D48" s="101">
        <f>(MIN(AB57,AB19+(((AB28-1)/AB28)*AB55)+AB58+(MIN(AB26,AB23/183))-AB21))/AB21</f>
        <v>0.99261283141064571</v>
      </c>
      <c r="E48" s="102">
        <f>(MIN(AB57,AB19+(((AB29-1)/AB29)*AB56)+AB58+(MIN(AB26,AB23/183))-AB21))/AB21</f>
        <v>0.99261283141064571</v>
      </c>
      <c r="F48" s="103">
        <f t="shared" ref="F48:F53" si="11">E48-D48</f>
        <v>0</v>
      </c>
      <c r="G48" s="68" t="str">
        <f t="shared" si="10"/>
        <v>Not Possible</v>
      </c>
      <c r="H48" s="104">
        <v>0</v>
      </c>
      <c r="I48" s="105">
        <f>MIN(H48,AB$33)</f>
        <v>0</v>
      </c>
      <c r="J48" s="64"/>
      <c r="K48" s="100">
        <f>(MIN(AB57,AB19+(((AB29-1)/AB29)*AB56)+AB58+(MIN(AB26,AB23/183))-AB21-H48))/AB21</f>
        <v>0.99261283141064571</v>
      </c>
      <c r="L48" s="100"/>
      <c r="M48" s="100"/>
      <c r="N48" s="100"/>
      <c r="O48" s="64"/>
      <c r="P48" s="64"/>
      <c r="Q48" s="64"/>
      <c r="R48" s="85"/>
      <c r="S48" s="86"/>
      <c r="T48" s="165"/>
      <c r="U48" s="87"/>
      <c r="Y48" s="4" t="s">
        <v>5</v>
      </c>
      <c r="Z48" s="5" t="s">
        <v>17</v>
      </c>
      <c r="AA48" s="52">
        <v>200</v>
      </c>
      <c r="AB48" s="52">
        <v>200</v>
      </c>
      <c r="AC48" s="52">
        <v>200</v>
      </c>
      <c r="AD48" s="52">
        <v>200</v>
      </c>
      <c r="AE48" s="52">
        <v>200</v>
      </c>
      <c r="AF48" s="52">
        <v>200</v>
      </c>
    </row>
    <row r="49" spans="1:32" ht="15" customHeight="1">
      <c r="A49" s="422"/>
      <c r="B49" s="403"/>
      <c r="C49" s="34">
        <v>3</v>
      </c>
      <c r="D49" s="101">
        <f>(MIN(AC57,AC19+(((AC28-1)/AC28)*AC55)+AC58+(MIN(AC26,AC23/183))-AC21))/AC21</f>
        <v>0.99362754475412629</v>
      </c>
      <c r="E49" s="102">
        <f>(MIN(AC57,AC19+(((AC29-1)/AC29)*AC56)+AC58+(MIN(AC26,AC23/183))-AC21))/AC21</f>
        <v>1.1528868040133855</v>
      </c>
      <c r="F49" s="103">
        <f>E49-D49</f>
        <v>0.15925925925925921</v>
      </c>
      <c r="G49" s="68" t="str">
        <f>IF(F49&gt;0,"Alloc Possible","Not Possible")</f>
        <v>Alloc Possible</v>
      </c>
      <c r="H49" s="104">
        <v>215.03718541807032</v>
      </c>
      <c r="I49" s="105">
        <f>MIN(H49,AC$33)</f>
        <v>100</v>
      </c>
      <c r="J49" s="64"/>
      <c r="K49" s="100">
        <f>(MIN(AC57,AC19+(((AC29-1)/AC29)*AC56)+AC58+(MIN(AC26,AC23/183))-AC21-H49))/AC21</f>
        <v>0.99360000000000015</v>
      </c>
      <c r="L49" s="100"/>
      <c r="M49" s="100"/>
      <c r="N49" s="100"/>
      <c r="O49" s="64"/>
      <c r="P49" s="64"/>
      <c r="Q49" s="64"/>
      <c r="R49" s="85"/>
      <c r="S49" s="86"/>
      <c r="T49" s="165"/>
      <c r="U49" s="87"/>
      <c r="Y49" s="9" t="s">
        <v>6</v>
      </c>
      <c r="Z49" s="5" t="s">
        <v>20</v>
      </c>
      <c r="AA49" s="52">
        <v>800</v>
      </c>
      <c r="AB49" s="52">
        <v>800</v>
      </c>
      <c r="AC49" s="52">
        <v>800</v>
      </c>
      <c r="AD49" s="52">
        <v>800</v>
      </c>
      <c r="AE49" s="52">
        <v>800</v>
      </c>
      <c r="AF49" s="52">
        <v>800</v>
      </c>
    </row>
    <row r="50" spans="1:32" ht="15.75" customHeight="1">
      <c r="A50" s="422"/>
      <c r="B50" s="403"/>
      <c r="C50" s="34">
        <v>4</v>
      </c>
      <c r="D50" s="101">
        <f>(MIN(AD57,AD19+(((AD28-1)/AD28)*AD55)+AD58+(MIN(AD26,AD23/183))-AD21))/AD21</f>
        <v>1.2142857142857142</v>
      </c>
      <c r="E50" s="102">
        <f>(MIN(AD57,AD19+(((AD29-1)/AD29)*AD56)+AD58+(MIN(AD26,AD23/183))-AD21))/AD21</f>
        <v>1.2142857142857142</v>
      </c>
      <c r="F50" s="103">
        <f t="shared" si="11"/>
        <v>0</v>
      </c>
      <c r="G50" s="68" t="str">
        <f t="shared" si="10"/>
        <v>Not Possible</v>
      </c>
      <c r="H50" s="104">
        <v>0</v>
      </c>
      <c r="I50" s="105">
        <f>MIN(H50,AD$33)</f>
        <v>0</v>
      </c>
      <c r="J50" s="64"/>
      <c r="K50" s="100">
        <f>(MIN(AD57,AD19+(((AD29-1)/AD29)*AD56)+AD58+(MIN(AD26,AD23/183))-AD21-H50))/AD21</f>
        <v>1.2142857142857142</v>
      </c>
      <c r="L50" s="100"/>
      <c r="M50" s="100"/>
      <c r="N50" s="100"/>
      <c r="O50" s="64"/>
      <c r="P50" s="64"/>
      <c r="Q50" s="64"/>
      <c r="R50" s="85"/>
      <c r="S50" s="86"/>
      <c r="T50" s="165"/>
      <c r="U50" s="87"/>
      <c r="Y50" s="7"/>
      <c r="Z50" s="21" t="s">
        <v>29</v>
      </c>
      <c r="AA50" s="52"/>
      <c r="AB50" s="52"/>
      <c r="AC50" s="52"/>
      <c r="AD50" s="52"/>
      <c r="AE50" s="52"/>
      <c r="AF50" s="52"/>
    </row>
    <row r="51" spans="1:32" ht="15" customHeight="1">
      <c r="A51" s="422"/>
      <c r="B51" s="403"/>
      <c r="C51" s="34">
        <v>5</v>
      </c>
      <c r="D51" s="101">
        <f>(MIN(AE57,AE19+(((AE28-1)/AE28)*AE55)+AE58+(MIN(AE26,AE23/183))-AE21))/AE21</f>
        <v>1.3099020991733772</v>
      </c>
      <c r="E51" s="102">
        <f>(MIN(AE57,AE19+(((AE29-1)/AE29)*AE56)+AE58+(MIN(AE26,AE23/183))-AE21))/AE21</f>
        <v>1.3571428571428572</v>
      </c>
      <c r="F51" s="103">
        <f t="shared" si="11"/>
        <v>4.7240757969480018E-2</v>
      </c>
      <c r="G51" s="68" t="str">
        <f t="shared" si="10"/>
        <v>Alloc Possible</v>
      </c>
      <c r="H51" s="104">
        <v>215.00293884272804</v>
      </c>
      <c r="I51" s="105">
        <f>MIN(H51,AE$33)</f>
        <v>100</v>
      </c>
      <c r="J51" s="64"/>
      <c r="K51" s="100">
        <f>(MIN(AE57,AE19+(((AE29-1)/AE29)*AE56)+AE58+(MIN(AE26,AE23/183))-AE21-H51))/AE21</f>
        <v>1.3098999999999998</v>
      </c>
      <c r="L51" s="100"/>
      <c r="M51" s="100"/>
      <c r="N51" s="100"/>
      <c r="O51" s="64"/>
      <c r="P51" s="64"/>
      <c r="Q51" s="64"/>
      <c r="R51" s="85"/>
      <c r="S51" s="86"/>
      <c r="T51" s="165"/>
      <c r="U51" s="87"/>
      <c r="Y51" s="4" t="s">
        <v>5</v>
      </c>
      <c r="Z51" s="5" t="s">
        <v>21</v>
      </c>
      <c r="AA51" s="52">
        <v>600</v>
      </c>
      <c r="AB51" s="52">
        <v>600</v>
      </c>
      <c r="AC51" s="52">
        <v>600</v>
      </c>
      <c r="AD51" s="52">
        <v>600</v>
      </c>
      <c r="AE51" s="52">
        <v>600</v>
      </c>
      <c r="AF51" s="52">
        <v>600</v>
      </c>
    </row>
    <row r="52" spans="1:32" ht="15" customHeight="1" thickBot="1">
      <c r="A52" s="422"/>
      <c r="B52" s="403"/>
      <c r="C52" s="34">
        <v>6</v>
      </c>
      <c r="D52" s="112">
        <f>(MIN(AF57,AF19+(((AF28-1)/AF28)*AF55)+AF58+(MIN(AF26,AF23/183))-AF21))/AF21</f>
        <v>1.3236007293103633</v>
      </c>
      <c r="E52" s="113">
        <f>(MIN(AF57,AF19+(((AF29-1)/AF29)*AF56)+AF58+(MIN(AF26,AF23/183))-AF21))/AF21</f>
        <v>1.3571428571428572</v>
      </c>
      <c r="F52" s="114">
        <f t="shared" si="11"/>
        <v>3.3542127832493884E-2</v>
      </c>
      <c r="G52" s="71" t="str">
        <f t="shared" si="10"/>
        <v>Alloc Possible</v>
      </c>
      <c r="H52" s="115">
        <v>215.00102103450837</v>
      </c>
      <c r="I52" s="110">
        <f>MIN(H52,AF$33)</f>
        <v>100</v>
      </c>
      <c r="J52" s="64"/>
      <c r="K52" s="100">
        <f>(MIN(AF57,AF19+(((AF29-1)/AF29)*AF56)+AF58+(MIN(AF26,AF23/183))-AF21-H52))/AF21</f>
        <v>1.3236000000000001</v>
      </c>
      <c r="L52" s="100"/>
      <c r="M52" s="100"/>
      <c r="N52" s="100"/>
      <c r="O52" s="64"/>
      <c r="P52" s="64"/>
      <c r="Q52" s="64"/>
      <c r="R52" s="138"/>
      <c r="S52" s="139"/>
      <c r="T52" s="179"/>
      <c r="U52" s="140"/>
      <c r="Y52" s="8"/>
      <c r="Z52" s="21" t="s">
        <v>72</v>
      </c>
      <c r="AA52" s="52"/>
      <c r="AB52" s="52"/>
      <c r="AC52" s="52"/>
      <c r="AD52" s="52"/>
      <c r="AE52" s="52"/>
      <c r="AF52" s="52"/>
    </row>
    <row r="53" spans="1:32" ht="15" customHeight="1">
      <c r="A53" s="422"/>
      <c r="B53" s="402" t="s">
        <v>101</v>
      </c>
      <c r="C53" s="33">
        <v>1</v>
      </c>
      <c r="D53" s="95">
        <f>(MIN(AA57,AA19+(((AA28-1)/AA28)*AA55)+AA58+AA26-AA20))/AA20</f>
        <v>0.18803816046966729</v>
      </c>
      <c r="E53" s="96">
        <f>(MIN(AA57,AA19+(((AA29-1)/AA29)*AA56)+AA58+AA26-AA20))/AA20</f>
        <v>0.18803816046966729</v>
      </c>
      <c r="F53" s="97">
        <f t="shared" si="11"/>
        <v>0</v>
      </c>
      <c r="G53" s="70" t="str">
        <f t="shared" si="10"/>
        <v>Not Possible</v>
      </c>
      <c r="H53" s="111">
        <v>0</v>
      </c>
      <c r="I53" s="99">
        <f>MIN(H53,AA$33)</f>
        <v>0</v>
      </c>
      <c r="J53" s="64"/>
      <c r="K53" s="100">
        <f>(MIN(AA57,AA19+(((AA29-1)/AA29)*AA56)+AA58+AA26-AA20-H53))/AA20</f>
        <v>0.18803816046966729</v>
      </c>
      <c r="L53" s="100"/>
      <c r="M53" s="100"/>
      <c r="N53" s="100"/>
      <c r="O53" s="64"/>
      <c r="P53" s="64"/>
      <c r="Q53" s="64"/>
      <c r="R53" s="91"/>
      <c r="S53" s="92"/>
      <c r="T53" s="164"/>
      <c r="U53" s="93"/>
      <c r="Y53" s="4" t="s">
        <v>1</v>
      </c>
      <c r="Z53" s="6" t="s">
        <v>24</v>
      </c>
      <c r="AA53" s="52">
        <v>400</v>
      </c>
      <c r="AB53" s="52">
        <v>400</v>
      </c>
      <c r="AC53" s="52">
        <v>400</v>
      </c>
      <c r="AD53" s="52">
        <v>400</v>
      </c>
      <c r="AE53" s="52">
        <v>400</v>
      </c>
      <c r="AF53" s="52">
        <v>400</v>
      </c>
    </row>
    <row r="54" spans="1:32" ht="15" customHeight="1">
      <c r="A54" s="422"/>
      <c r="B54" s="403"/>
      <c r="C54" s="34">
        <v>2</v>
      </c>
      <c r="D54" s="101">
        <f>(MIN(AB57,AB19+(((AB28-1)/AB28)*AB55)+AB58+AB26-AB20))/AB20</f>
        <v>0.16666666666666666</v>
      </c>
      <c r="E54" s="102">
        <f>(MIN(AB57,AB19+(((AB29-1)/AB29)*AB56)+AB58+AB26-AB20))/AB20</f>
        <v>0.16666666666666666</v>
      </c>
      <c r="F54" s="103">
        <f t="shared" ref="F54:F58" si="12">E54-D54</f>
        <v>0</v>
      </c>
      <c r="G54" s="68" t="str">
        <f t="shared" si="10"/>
        <v>Not Possible</v>
      </c>
      <c r="H54" s="104">
        <v>0</v>
      </c>
      <c r="I54" s="105">
        <f>MIN(H54,AB$33)</f>
        <v>0</v>
      </c>
      <c r="J54" s="64"/>
      <c r="K54" s="100">
        <f>(MIN(AB57,AB19+(((AB29-1)/AB29)*AB56)+AB58+AB26-AB20-H54))/AB20</f>
        <v>0.16666666666666666</v>
      </c>
      <c r="L54" s="100"/>
      <c r="M54" s="100"/>
      <c r="N54" s="100"/>
      <c r="O54" s="64"/>
      <c r="P54" s="64"/>
      <c r="Q54" s="64"/>
      <c r="R54" s="85"/>
      <c r="S54" s="86"/>
      <c r="T54" s="165"/>
      <c r="U54" s="87"/>
      <c r="Y54" s="4" t="s">
        <v>1</v>
      </c>
      <c r="Z54" s="11" t="s">
        <v>25</v>
      </c>
      <c r="AA54" s="53">
        <v>0</v>
      </c>
      <c r="AB54" s="53">
        <v>0</v>
      </c>
      <c r="AC54" s="53">
        <v>0</v>
      </c>
      <c r="AD54" s="53">
        <v>500</v>
      </c>
      <c r="AE54" s="53">
        <v>500</v>
      </c>
      <c r="AF54" s="53">
        <v>500</v>
      </c>
    </row>
    <row r="55" spans="1:32" ht="15" customHeight="1">
      <c r="A55" s="422"/>
      <c r="B55" s="403"/>
      <c r="C55" s="34">
        <v>3</v>
      </c>
      <c r="D55" s="101">
        <f>(MIN(AC57,AC19+(((AC28-1)/AC28)*AC55)+AC58+AC26-AC20))/AC20</f>
        <v>0.16714732035568375</v>
      </c>
      <c r="E55" s="102">
        <f>(MIN(AC57,AC19+(((AC29-1)/AC29)*AC56)+AC58+AC26-AC20))/AC20</f>
        <v>0.24258591684691183</v>
      </c>
      <c r="F55" s="103">
        <f t="shared" si="12"/>
        <v>7.5438596491228083E-2</v>
      </c>
      <c r="G55" s="68" t="str">
        <f t="shared" si="10"/>
        <v>Alloc Possible</v>
      </c>
      <c r="H55" s="104">
        <v>214.9948630136987</v>
      </c>
      <c r="I55" s="105">
        <f>MIN(H55,AC$33)</f>
        <v>100</v>
      </c>
      <c r="J55" s="64"/>
      <c r="K55" s="100">
        <f>(MIN(AC57,AC19+(((AC29-1)/AC29)*AC56)+AC58+AC26-AC20-H55))/AC20</f>
        <v>0.16714912280701755</v>
      </c>
      <c r="L55" s="100"/>
      <c r="M55" s="100"/>
      <c r="N55" s="100"/>
      <c r="O55" s="64"/>
      <c r="P55" s="64"/>
      <c r="Q55" s="64"/>
      <c r="R55" s="85"/>
      <c r="S55" s="86"/>
      <c r="T55" s="165"/>
      <c r="U55" s="87"/>
      <c r="Y55" s="49" t="s">
        <v>115</v>
      </c>
      <c r="Z55" s="1"/>
      <c r="AA55" s="54">
        <f>SUM(AA31,AA32,AA39,AA45,AA48,AA51)</f>
        <v>2700</v>
      </c>
      <c r="AB55" s="54">
        <f t="shared" ref="AB55:AF55" si="13">SUM(AB31,AB32,AB39,AB45,AB48,AB51)</f>
        <v>2700</v>
      </c>
      <c r="AC55" s="54">
        <f>SUM(AC31,AC32,AC39,AC45,AC48,AC51)</f>
        <v>2700</v>
      </c>
      <c r="AD55" s="54">
        <f t="shared" si="13"/>
        <v>2700</v>
      </c>
      <c r="AE55" s="54">
        <f t="shared" si="13"/>
        <v>2700</v>
      </c>
      <c r="AF55" s="54">
        <f t="shared" si="13"/>
        <v>2700</v>
      </c>
    </row>
    <row r="56" spans="1:32" ht="15" customHeight="1">
      <c r="A56" s="422"/>
      <c r="B56" s="403"/>
      <c r="C56" s="34">
        <v>4</v>
      </c>
      <c r="D56" s="101">
        <f>(MIN(AD57,AD19+(((AD28-1)/AD28)*AD55)+AD58+AD26-AD20))/AD20</f>
        <v>0.32652338214454424</v>
      </c>
      <c r="E56" s="102">
        <f>(MIN(AD57,AD19+(((AD29-1)/AD29)*AD56)+AD58+AD26-AD20))/AD20</f>
        <v>0.40066131317902687</v>
      </c>
      <c r="F56" s="103">
        <f t="shared" si="12"/>
        <v>7.4137931034482629E-2</v>
      </c>
      <c r="G56" s="68" t="str">
        <f t="shared" si="10"/>
        <v>Alloc Possible</v>
      </c>
      <c r="H56" s="104">
        <v>214.87780821917787</v>
      </c>
      <c r="I56" s="105">
        <f>MIN(H56,AD$33)</f>
        <v>100</v>
      </c>
      <c r="J56" s="64"/>
      <c r="K56" s="100">
        <f>(MIN(AD57,AD19+(((AD29-1)/AD29)*AD56)+AD58+AD26-AD20-H56))/AD20</f>
        <v>0.32656551724137933</v>
      </c>
      <c r="L56" s="100"/>
      <c r="M56" s="100"/>
      <c r="N56" s="100"/>
      <c r="O56" s="64"/>
      <c r="P56" s="64"/>
      <c r="Q56" s="64"/>
      <c r="R56" s="85"/>
      <c r="S56" s="86"/>
      <c r="T56" s="165"/>
      <c r="U56" s="87"/>
      <c r="Y56" s="49" t="s">
        <v>118</v>
      </c>
      <c r="Z56" s="5"/>
      <c r="AA56" s="55">
        <f>SUM(AA31,AA32,AA33,AA39,AA45,AA48,AA51)</f>
        <v>2700</v>
      </c>
      <c r="AB56" s="55">
        <f t="shared" ref="AB56:AF56" si="14">SUM(AB31,AB32,AB33,AB39,AB45,AB48,AB51)</f>
        <v>2700</v>
      </c>
      <c r="AC56" s="55">
        <f>SUM(AC31,AC32,AC33,AC39,AC45,AC48,AC51)</f>
        <v>2800</v>
      </c>
      <c r="AD56" s="55">
        <f t="shared" si="14"/>
        <v>2800</v>
      </c>
      <c r="AE56" s="55">
        <f t="shared" si="14"/>
        <v>2800</v>
      </c>
      <c r="AF56" s="55">
        <f t="shared" si="14"/>
        <v>2800</v>
      </c>
    </row>
    <row r="57" spans="1:32" ht="15.75" customHeight="1">
      <c r="A57" s="422"/>
      <c r="B57" s="403"/>
      <c r="C57" s="34">
        <v>5</v>
      </c>
      <c r="D57" s="101">
        <f>(MIN(AE57,AE19+(((AE28-1)/AE28)*AE55)+AE58+AE26-AE20))/AE20</f>
        <v>0.33408124704770908</v>
      </c>
      <c r="E57" s="102">
        <f>(MIN(AE57,AE19+(((AE29-1)/AE29)*AE56)+AE58+AE26-AE20))/AE20</f>
        <v>0.40821917808219182</v>
      </c>
      <c r="F57" s="103">
        <f t="shared" si="12"/>
        <v>7.413793103448274E-2</v>
      </c>
      <c r="G57" s="68" t="str">
        <f t="shared" si="10"/>
        <v>Alloc Possible</v>
      </c>
      <c r="H57" s="104">
        <v>215.0356164383563</v>
      </c>
      <c r="I57" s="105">
        <f>MIN(H57,AE$33)</f>
        <v>100</v>
      </c>
      <c r="J57" s="64"/>
      <c r="K57" s="100">
        <f>(MIN(AE57,AE19+(((AE29-1)/AE29)*AE56)+AE58+AE26-AE20-H57))/AE20</f>
        <v>0.33406896551724136</v>
      </c>
      <c r="L57" s="100"/>
      <c r="M57" s="100"/>
      <c r="N57" s="100"/>
      <c r="O57" s="64"/>
      <c r="P57" s="64"/>
      <c r="Q57" s="64"/>
      <c r="R57" s="85"/>
      <c r="S57" s="86"/>
      <c r="T57" s="165"/>
      <c r="U57" s="87"/>
      <c r="Y57" s="49" t="s">
        <v>113</v>
      </c>
      <c r="Z57" s="5"/>
      <c r="AA57" s="55">
        <f>SUM(AA34,AA41,AA46)</f>
        <v>1700</v>
      </c>
      <c r="AB57" s="55">
        <f t="shared" ref="AB57:AF57" si="15">SUM(AB34,AB41,AB46)</f>
        <v>1700</v>
      </c>
      <c r="AC57" s="55">
        <f t="shared" si="15"/>
        <v>1700</v>
      </c>
      <c r="AD57" s="55">
        <f t="shared" si="15"/>
        <v>1700</v>
      </c>
      <c r="AE57" s="55">
        <f t="shared" si="15"/>
        <v>1900</v>
      </c>
      <c r="AF57" s="55">
        <f t="shared" si="15"/>
        <v>1900</v>
      </c>
    </row>
    <row r="58" spans="1:32" ht="15" customHeight="1" thickBot="1">
      <c r="A58" s="422"/>
      <c r="B58" s="403"/>
      <c r="C58" s="34">
        <v>6</v>
      </c>
      <c r="D58" s="106">
        <f>(MIN(AF57,AF19+(((AF28-1)/AF28)*AF55)+AF58+AF26-AF20))/AF20</f>
        <v>0.31797074529835145</v>
      </c>
      <c r="E58" s="107">
        <f>(MIN(AF57,AF19+(((AF29-1)/AF29)*AF56)+AF58+AF26-AF20))/AF20</f>
        <v>0.39085210123055486</v>
      </c>
      <c r="F58" s="108">
        <f t="shared" si="12"/>
        <v>7.2881355932203407E-2</v>
      </c>
      <c r="G58" s="69" t="str">
        <f t="shared" si="10"/>
        <v>Alloc Possible</v>
      </c>
      <c r="H58" s="109">
        <v>215.01369863013682</v>
      </c>
      <c r="I58" s="110">
        <f>MIN(H58,AF$33)</f>
        <v>100</v>
      </c>
      <c r="J58" s="65"/>
      <c r="K58" s="100">
        <f>(MIN(AF57,AF19+(((AF29-1)/AF29)*AF56)+AF58+AF26-AF20-H58))/AF20</f>
        <v>0.31796610169491524</v>
      </c>
      <c r="L58" s="100"/>
      <c r="M58" s="100"/>
      <c r="N58" s="100"/>
      <c r="O58" s="64"/>
      <c r="P58" s="64"/>
      <c r="Q58" s="64"/>
      <c r="R58" s="88"/>
      <c r="S58" s="89"/>
      <c r="T58" s="166"/>
      <c r="U58" s="90"/>
      <c r="Y58" s="49" t="s">
        <v>114</v>
      </c>
      <c r="Z58" s="5"/>
      <c r="AA58" s="55">
        <f t="shared" ref="AA58:AF58" si="16">SUM(AA53:AA54)</f>
        <v>400</v>
      </c>
      <c r="AB58" s="55">
        <f t="shared" si="16"/>
        <v>400</v>
      </c>
      <c r="AC58" s="55">
        <f t="shared" si="16"/>
        <v>400</v>
      </c>
      <c r="AD58" s="55">
        <f t="shared" si="16"/>
        <v>900</v>
      </c>
      <c r="AE58" s="55">
        <f t="shared" si="16"/>
        <v>900</v>
      </c>
      <c r="AF58" s="55">
        <f t="shared" si="16"/>
        <v>900</v>
      </c>
    </row>
    <row r="59" spans="1:32" ht="15" customHeight="1">
      <c r="A59" s="422"/>
      <c r="B59" s="402" t="s">
        <v>130</v>
      </c>
      <c r="C59" s="30">
        <v>1</v>
      </c>
      <c r="D59" s="100"/>
      <c r="E59" s="64"/>
      <c r="F59" s="64"/>
      <c r="G59" s="64"/>
      <c r="H59" s="100"/>
      <c r="I59" s="64"/>
      <c r="J59" s="150">
        <f t="shared" ref="J59:J60" si="17">(I41*182)+(I47*(183-14))+(I53*14)</f>
        <v>0</v>
      </c>
      <c r="K59" s="100"/>
      <c r="L59" s="100"/>
      <c r="M59" s="100"/>
      <c r="N59" s="100"/>
      <c r="O59" s="64"/>
      <c r="P59" s="64"/>
      <c r="Q59" s="64"/>
      <c r="R59" s="91"/>
      <c r="S59" s="92"/>
      <c r="T59" s="164"/>
      <c r="U59" s="93"/>
      <c r="Y59" s="49"/>
      <c r="Z59" s="5"/>
      <c r="AA59" s="55"/>
      <c r="AB59" s="55"/>
      <c r="AC59" s="55"/>
      <c r="AD59" s="55"/>
      <c r="AE59" s="55"/>
      <c r="AF59" s="55"/>
    </row>
    <row r="60" spans="1:32" ht="15" customHeight="1">
      <c r="A60" s="422"/>
      <c r="B60" s="403"/>
      <c r="C60" s="31">
        <v>2</v>
      </c>
      <c r="D60" s="100"/>
      <c r="E60" s="64"/>
      <c r="F60" s="64"/>
      <c r="G60" s="64"/>
      <c r="H60" s="100"/>
      <c r="I60" s="64"/>
      <c r="J60" s="151">
        <f t="shared" si="17"/>
        <v>0</v>
      </c>
      <c r="K60" s="100"/>
      <c r="L60" s="100"/>
      <c r="M60" s="100"/>
      <c r="N60" s="100"/>
      <c r="O60" s="64"/>
      <c r="P60" s="64"/>
      <c r="Q60" s="64"/>
      <c r="R60" s="85"/>
      <c r="S60" s="86"/>
      <c r="T60" s="165"/>
      <c r="U60" s="87"/>
      <c r="Y60" s="49"/>
      <c r="Z60" s="5"/>
      <c r="AA60" s="55"/>
      <c r="AB60" s="55"/>
      <c r="AC60" s="55"/>
      <c r="AD60" s="55"/>
      <c r="AE60" s="55"/>
      <c r="AF60" s="55"/>
    </row>
    <row r="61" spans="1:32" ht="15" customHeight="1">
      <c r="A61" s="422"/>
      <c r="B61" s="403"/>
      <c r="C61" s="31">
        <v>3</v>
      </c>
      <c r="D61" s="100"/>
      <c r="E61" s="64"/>
      <c r="F61" s="64"/>
      <c r="G61" s="64"/>
      <c r="H61" s="100"/>
      <c r="I61" s="64"/>
      <c r="J61" s="151">
        <f>(I43*182)+(I49*(183-14))+(I55*14)</f>
        <v>36500</v>
      </c>
      <c r="K61" s="100"/>
      <c r="L61" s="100"/>
      <c r="M61" s="100"/>
      <c r="N61" s="100"/>
      <c r="O61" s="64"/>
      <c r="P61" s="64"/>
      <c r="Q61" s="64"/>
      <c r="R61" s="85"/>
      <c r="S61" s="86"/>
      <c r="T61" s="165"/>
      <c r="U61" s="87"/>
      <c r="Y61" s="49"/>
      <c r="Z61" s="5"/>
      <c r="AA61" s="55"/>
      <c r="AB61" s="55"/>
      <c r="AC61" s="55"/>
      <c r="AD61" s="55"/>
      <c r="AE61" s="55"/>
      <c r="AF61" s="55"/>
    </row>
    <row r="62" spans="1:32" ht="15" customHeight="1">
      <c r="A62" s="422"/>
      <c r="B62" s="403"/>
      <c r="C62" s="31">
        <v>4</v>
      </c>
      <c r="D62" s="100"/>
      <c r="E62" s="64"/>
      <c r="F62" s="64"/>
      <c r="G62" s="64"/>
      <c r="H62" s="100"/>
      <c r="I62" s="64"/>
      <c r="J62" s="151">
        <f>(I44*182)+(I50*(183-14))+(I56*14)</f>
        <v>1400</v>
      </c>
      <c r="K62" s="100"/>
      <c r="L62" s="100"/>
      <c r="M62" s="100"/>
      <c r="N62" s="100"/>
      <c r="O62" s="64"/>
      <c r="P62" s="64"/>
      <c r="Q62" s="64"/>
      <c r="R62" s="85"/>
      <c r="S62" s="86"/>
      <c r="T62" s="165"/>
      <c r="U62" s="87"/>
      <c r="Y62" s="49"/>
      <c r="Z62" s="5"/>
      <c r="AA62" s="55"/>
      <c r="AB62" s="55"/>
      <c r="AC62" s="55"/>
      <c r="AD62" s="55"/>
      <c r="AE62" s="55"/>
      <c r="AF62" s="55"/>
    </row>
    <row r="63" spans="1:32" ht="15" customHeight="1">
      <c r="A63" s="422"/>
      <c r="B63" s="403"/>
      <c r="C63" s="31">
        <v>5</v>
      </c>
      <c r="D63" s="100"/>
      <c r="E63" s="64"/>
      <c r="F63" s="64"/>
      <c r="G63" s="64"/>
      <c r="H63" s="100"/>
      <c r="I63" s="64"/>
      <c r="J63" s="151">
        <f>(I45*182)+(I51*(183-14))+(I57*14)</f>
        <v>18300</v>
      </c>
      <c r="K63" s="100"/>
      <c r="L63" s="100"/>
      <c r="M63" s="100"/>
      <c r="N63" s="100"/>
      <c r="O63" s="64"/>
      <c r="P63" s="64"/>
      <c r="Q63" s="64"/>
      <c r="R63" s="85"/>
      <c r="S63" s="86"/>
      <c r="T63" s="165"/>
      <c r="U63" s="87"/>
      <c r="Y63" s="49"/>
      <c r="Z63" s="5"/>
      <c r="AA63" s="55"/>
      <c r="AB63" s="55"/>
      <c r="AC63" s="55"/>
      <c r="AD63" s="55"/>
      <c r="AE63" s="55"/>
      <c r="AF63" s="55"/>
    </row>
    <row r="64" spans="1:32" ht="15" customHeight="1" thickBot="1">
      <c r="A64" s="423"/>
      <c r="B64" s="403"/>
      <c r="C64" s="32">
        <v>6</v>
      </c>
      <c r="D64" s="100"/>
      <c r="E64" s="64"/>
      <c r="F64" s="64"/>
      <c r="G64" s="64"/>
      <c r="H64" s="100"/>
      <c r="I64" s="64"/>
      <c r="J64" s="152">
        <f>(I46*182)+(I52*(183-14))+(I58*14)</f>
        <v>18300</v>
      </c>
      <c r="K64" s="100"/>
      <c r="L64" s="100"/>
      <c r="M64" s="100"/>
      <c r="N64" s="100"/>
      <c r="O64" s="64"/>
      <c r="P64" s="64"/>
      <c r="Q64" s="64"/>
      <c r="R64" s="88"/>
      <c r="S64" s="89"/>
      <c r="T64" s="166"/>
      <c r="U64" s="90"/>
      <c r="Y64" s="49"/>
      <c r="Z64" s="5"/>
      <c r="AA64" s="55"/>
      <c r="AB64" s="55"/>
      <c r="AC64" s="55"/>
      <c r="AD64" s="55"/>
      <c r="AE64" s="55"/>
      <c r="AF64" s="55"/>
    </row>
    <row r="65" spans="1:43" ht="15" customHeight="1" thickBot="1">
      <c r="A65" s="37"/>
      <c r="B65" s="38"/>
      <c r="C65" s="48"/>
      <c r="D65" s="141"/>
      <c r="E65" s="141"/>
      <c r="F65" s="141"/>
      <c r="G65" s="141"/>
      <c r="H65" s="142"/>
      <c r="I65" s="142"/>
      <c r="J65" s="142"/>
      <c r="K65" s="142"/>
      <c r="L65" s="142"/>
      <c r="M65" s="142"/>
      <c r="N65" s="142"/>
      <c r="O65" s="142"/>
      <c r="P65" s="142"/>
      <c r="Q65" s="142"/>
      <c r="R65" s="142"/>
      <c r="S65" s="142"/>
      <c r="T65" s="142"/>
      <c r="U65" s="143"/>
      <c r="V65" s="36"/>
      <c r="W65" s="36"/>
      <c r="X65" s="36"/>
      <c r="Y65" s="401" t="s">
        <v>26</v>
      </c>
      <c r="Z65" s="401"/>
      <c r="AA65" s="18"/>
      <c r="AB65" s="18"/>
      <c r="AC65" s="18"/>
      <c r="AD65" s="18"/>
      <c r="AE65" s="18"/>
      <c r="AF65" s="18"/>
      <c r="AG65" s="36"/>
      <c r="AH65" s="36"/>
      <c r="AI65" s="36"/>
      <c r="AJ65" s="1"/>
      <c r="AK65" s="1"/>
      <c r="AL65" s="18"/>
      <c r="AM65" s="18"/>
      <c r="AN65" s="18"/>
      <c r="AO65" s="18"/>
      <c r="AP65" s="18"/>
      <c r="AQ65" s="18"/>
    </row>
    <row r="66" spans="1:43" ht="15" customHeight="1">
      <c r="A66" s="412" t="s">
        <v>97</v>
      </c>
      <c r="B66" s="402" t="s">
        <v>105</v>
      </c>
      <c r="C66" s="30">
        <v>1</v>
      </c>
      <c r="D66" s="116"/>
      <c r="E66" s="117"/>
      <c r="F66" s="117"/>
      <c r="G66" s="117"/>
      <c r="H66" s="117"/>
      <c r="I66" s="117"/>
      <c r="J66" s="117"/>
      <c r="K66" s="117"/>
      <c r="L66" s="117"/>
      <c r="M66" s="117"/>
      <c r="N66" s="117"/>
      <c r="O66" s="117"/>
      <c r="P66" s="118"/>
      <c r="Q66" s="118"/>
      <c r="R66" s="118"/>
      <c r="S66" s="118"/>
      <c r="T66" s="118"/>
      <c r="U66" s="119"/>
      <c r="Y66" s="1"/>
      <c r="Z66" s="3" t="s">
        <v>77</v>
      </c>
      <c r="AA66" s="18">
        <v>0</v>
      </c>
      <c r="AB66" s="18">
        <v>0</v>
      </c>
      <c r="AC66" s="18">
        <v>0</v>
      </c>
      <c r="AD66" s="18">
        <v>0</v>
      </c>
      <c r="AE66" s="18">
        <v>0</v>
      </c>
      <c r="AF66" s="18">
        <v>0</v>
      </c>
    </row>
    <row r="67" spans="1:43" ht="15" customHeight="1">
      <c r="A67" s="412"/>
      <c r="B67" s="403"/>
      <c r="C67" s="31">
        <v>2</v>
      </c>
      <c r="D67" s="81"/>
      <c r="E67" s="77"/>
      <c r="F67" s="77"/>
      <c r="G67" s="77"/>
      <c r="H67" s="77"/>
      <c r="I67" s="77"/>
      <c r="J67" s="77"/>
      <c r="K67" s="77"/>
      <c r="L67" s="77"/>
      <c r="M67" s="77"/>
      <c r="N67" s="77"/>
      <c r="O67" s="77"/>
      <c r="P67" s="64"/>
      <c r="Q67" s="64"/>
      <c r="R67" s="64"/>
      <c r="S67" s="64"/>
      <c r="T67" s="64"/>
      <c r="U67" s="120"/>
      <c r="Y67" s="1"/>
      <c r="Z67" s="3" t="s">
        <v>79</v>
      </c>
      <c r="AA67" s="18">
        <f>AA66/365</f>
        <v>0</v>
      </c>
      <c r="AB67" s="18">
        <f t="shared" ref="AB67:AF67" si="18">AB66/365</f>
        <v>0</v>
      </c>
      <c r="AC67" s="18">
        <f t="shared" si="18"/>
        <v>0</v>
      </c>
      <c r="AD67" s="18">
        <f t="shared" si="18"/>
        <v>0</v>
      </c>
      <c r="AE67" s="18">
        <f t="shared" si="18"/>
        <v>0</v>
      </c>
      <c r="AF67" s="18">
        <f t="shared" si="18"/>
        <v>0</v>
      </c>
    </row>
    <row r="68" spans="1:43" ht="15" customHeight="1">
      <c r="A68" s="412"/>
      <c r="B68" s="403"/>
      <c r="C68" s="31">
        <v>3</v>
      </c>
      <c r="D68" s="81"/>
      <c r="E68" s="77"/>
      <c r="F68" s="77"/>
      <c r="G68" s="77"/>
      <c r="H68" s="77"/>
      <c r="I68" s="77"/>
      <c r="J68" s="77"/>
      <c r="K68" s="77"/>
      <c r="L68" s="77"/>
      <c r="M68" s="77"/>
      <c r="N68" s="77"/>
      <c r="O68" s="77"/>
      <c r="P68" s="77"/>
      <c r="Q68" s="64"/>
      <c r="R68" s="64"/>
      <c r="S68" s="64"/>
      <c r="T68" s="64"/>
      <c r="U68" s="120"/>
      <c r="Y68" s="1"/>
      <c r="Z68" s="2" t="s">
        <v>80</v>
      </c>
      <c r="AA68" s="18">
        <v>1400</v>
      </c>
      <c r="AB68" s="18">
        <v>1400</v>
      </c>
      <c r="AC68" s="18">
        <v>1350</v>
      </c>
      <c r="AD68" s="18">
        <v>1350</v>
      </c>
      <c r="AE68" s="18">
        <v>1400</v>
      </c>
      <c r="AF68" s="18">
        <v>1450</v>
      </c>
    </row>
    <row r="69" spans="1:43" ht="15" customHeight="1">
      <c r="A69" s="412"/>
      <c r="B69" s="403"/>
      <c r="C69" s="31">
        <v>4</v>
      </c>
      <c r="D69" s="81"/>
      <c r="E69" s="77"/>
      <c r="F69" s="77"/>
      <c r="G69" s="77"/>
      <c r="H69" s="77"/>
      <c r="I69" s="77"/>
      <c r="J69" s="77"/>
      <c r="K69" s="77"/>
      <c r="L69" s="77"/>
      <c r="M69" s="77"/>
      <c r="N69" s="77"/>
      <c r="O69" s="77"/>
      <c r="P69" s="77"/>
      <c r="Q69" s="64"/>
      <c r="R69" s="64"/>
      <c r="S69" s="64"/>
      <c r="T69" s="64"/>
      <c r="U69" s="120"/>
      <c r="Y69" s="1"/>
      <c r="Z69" s="2" t="s">
        <v>2</v>
      </c>
      <c r="AA69" s="18">
        <v>600</v>
      </c>
      <c r="AB69" s="18">
        <v>600</v>
      </c>
      <c r="AC69" s="18">
        <v>550</v>
      </c>
      <c r="AD69" s="18">
        <v>550</v>
      </c>
      <c r="AE69" s="18">
        <v>600</v>
      </c>
      <c r="AF69" s="18">
        <v>600</v>
      </c>
    </row>
    <row r="70" spans="1:43" ht="15" customHeight="1">
      <c r="A70" s="412"/>
      <c r="B70" s="403"/>
      <c r="C70" s="31">
        <v>5</v>
      </c>
      <c r="D70" s="81"/>
      <c r="E70" s="77"/>
      <c r="F70" s="77"/>
      <c r="G70" s="77"/>
      <c r="H70" s="77"/>
      <c r="I70" s="77"/>
      <c r="J70" s="77"/>
      <c r="K70" s="77"/>
      <c r="L70" s="77"/>
      <c r="M70" s="77"/>
      <c r="N70" s="77"/>
      <c r="O70" s="77"/>
      <c r="P70" s="77"/>
      <c r="Q70" s="64"/>
      <c r="R70" s="64"/>
      <c r="S70" s="64"/>
      <c r="T70" s="64"/>
      <c r="U70" s="120"/>
      <c r="Y70" s="1"/>
      <c r="Z70" s="2" t="s">
        <v>3</v>
      </c>
      <c r="AA70" s="18">
        <v>300</v>
      </c>
      <c r="AB70" s="18">
        <v>350</v>
      </c>
      <c r="AC70" s="18">
        <v>300</v>
      </c>
      <c r="AD70" s="18">
        <v>300</v>
      </c>
      <c r="AE70" s="18">
        <v>350</v>
      </c>
      <c r="AF70" s="18">
        <v>350</v>
      </c>
    </row>
    <row r="71" spans="1:43" ht="15" customHeight="1" thickBot="1">
      <c r="A71" s="412"/>
      <c r="B71" s="404"/>
      <c r="C71" s="32">
        <v>6</v>
      </c>
      <c r="D71" s="81"/>
      <c r="E71" s="77"/>
      <c r="F71" s="77"/>
      <c r="G71" s="77"/>
      <c r="H71" s="77"/>
      <c r="I71" s="77"/>
      <c r="J71" s="77"/>
      <c r="K71" s="77"/>
      <c r="L71" s="77"/>
      <c r="M71" s="77"/>
      <c r="N71" s="77"/>
      <c r="O71" s="77"/>
      <c r="P71" s="77"/>
      <c r="Q71" s="64"/>
      <c r="R71" s="64"/>
      <c r="S71" s="64"/>
      <c r="T71" s="64"/>
      <c r="U71" s="120"/>
      <c r="Y71" s="1"/>
      <c r="Z71" s="2" t="s">
        <v>0</v>
      </c>
      <c r="AA71" s="1">
        <v>7400</v>
      </c>
      <c r="AB71" s="1">
        <v>7400</v>
      </c>
      <c r="AC71" s="1">
        <v>7400</v>
      </c>
      <c r="AD71" s="1">
        <v>7400</v>
      </c>
      <c r="AE71" s="1">
        <v>7400</v>
      </c>
      <c r="AF71" s="1">
        <v>7400</v>
      </c>
    </row>
    <row r="72" spans="1:43" ht="15" customHeight="1">
      <c r="A72" s="412"/>
      <c r="B72" s="402" t="s">
        <v>110</v>
      </c>
      <c r="C72" s="30">
        <v>1</v>
      </c>
      <c r="D72" s="81"/>
      <c r="E72" s="77"/>
      <c r="F72" s="77"/>
      <c r="G72" s="77"/>
      <c r="H72" s="77"/>
      <c r="I72" s="77"/>
      <c r="J72" s="77"/>
      <c r="K72" s="77"/>
      <c r="L72" s="77"/>
      <c r="M72" s="77"/>
      <c r="N72" s="77"/>
      <c r="O72" s="77"/>
      <c r="P72" s="77"/>
      <c r="Q72" s="64"/>
      <c r="R72" s="64"/>
      <c r="S72" s="64"/>
      <c r="T72" s="64"/>
      <c r="U72" s="120"/>
      <c r="Y72" s="1"/>
      <c r="Z72" s="2" t="s">
        <v>83</v>
      </c>
      <c r="AA72" s="24">
        <f>AA71/365</f>
        <v>20.273972602739725</v>
      </c>
      <c r="AB72" s="24">
        <f t="shared" ref="AB72:AF72" si="19">AB71/365</f>
        <v>20.273972602739725</v>
      </c>
      <c r="AC72" s="24">
        <f t="shared" si="19"/>
        <v>20.273972602739725</v>
      </c>
      <c r="AD72" s="24">
        <f t="shared" si="19"/>
        <v>20.273972602739725</v>
      </c>
      <c r="AE72" s="24">
        <f t="shared" si="19"/>
        <v>20.273972602739725</v>
      </c>
      <c r="AF72" s="24">
        <f t="shared" si="19"/>
        <v>20.273972602739725</v>
      </c>
    </row>
    <row r="73" spans="1:43" ht="15" customHeight="1">
      <c r="A73" s="412"/>
      <c r="B73" s="403"/>
      <c r="C73" s="31">
        <v>2</v>
      </c>
      <c r="D73" s="81"/>
      <c r="E73" s="77"/>
      <c r="F73" s="77"/>
      <c r="G73" s="77"/>
      <c r="H73" s="77"/>
      <c r="I73" s="77"/>
      <c r="J73" s="77"/>
      <c r="K73" s="77"/>
      <c r="L73" s="77"/>
      <c r="M73" s="77"/>
      <c r="N73" s="77"/>
      <c r="O73" s="77"/>
      <c r="P73" s="77"/>
      <c r="Q73" s="64"/>
      <c r="R73" s="64"/>
      <c r="S73" s="64"/>
      <c r="T73" s="64"/>
      <c r="U73" s="120"/>
      <c r="Y73" s="1"/>
      <c r="Z73" s="2" t="s">
        <v>81</v>
      </c>
      <c r="AA73" s="18">
        <v>80</v>
      </c>
      <c r="AB73" s="18">
        <v>80</v>
      </c>
      <c r="AC73" s="18">
        <v>80</v>
      </c>
      <c r="AD73" s="18">
        <v>80</v>
      </c>
      <c r="AE73" s="18">
        <v>80</v>
      </c>
      <c r="AF73" s="18">
        <v>80</v>
      </c>
    </row>
    <row r="74" spans="1:43" ht="15" customHeight="1">
      <c r="A74" s="412"/>
      <c r="B74" s="403"/>
      <c r="C74" s="31">
        <v>3</v>
      </c>
      <c r="D74" s="81"/>
      <c r="E74" s="77"/>
      <c r="F74" s="77"/>
      <c r="G74" s="77"/>
      <c r="H74" s="77"/>
      <c r="I74" s="77"/>
      <c r="J74" s="77"/>
      <c r="K74" s="77"/>
      <c r="L74" s="77"/>
      <c r="M74" s="77"/>
      <c r="N74" s="77"/>
      <c r="O74" s="77"/>
      <c r="P74" s="77"/>
      <c r="Q74" s="64"/>
      <c r="R74" s="64"/>
      <c r="S74" s="64"/>
      <c r="T74" s="64"/>
      <c r="U74" s="120"/>
      <c r="Y74" s="1"/>
      <c r="Z74" s="2" t="s">
        <v>82</v>
      </c>
      <c r="AA74" s="18">
        <v>150</v>
      </c>
      <c r="AB74" s="18">
        <v>150</v>
      </c>
      <c r="AC74" s="18">
        <v>150</v>
      </c>
      <c r="AD74" s="18">
        <v>150</v>
      </c>
      <c r="AE74" s="18">
        <v>150</v>
      </c>
      <c r="AF74" s="18">
        <v>150</v>
      </c>
    </row>
    <row r="75" spans="1:43" ht="15" customHeight="1">
      <c r="A75" s="412"/>
      <c r="B75" s="403"/>
      <c r="C75" s="31">
        <v>4</v>
      </c>
      <c r="D75" s="81"/>
      <c r="E75" s="77"/>
      <c r="F75" s="77"/>
      <c r="G75" s="77"/>
      <c r="H75" s="77"/>
      <c r="I75" s="77"/>
      <c r="J75" s="77"/>
      <c r="K75" s="77"/>
      <c r="L75" s="77"/>
      <c r="M75" s="77"/>
      <c r="N75" s="77"/>
      <c r="O75" s="77"/>
      <c r="P75" s="77"/>
      <c r="Q75" s="64"/>
      <c r="R75" s="64"/>
      <c r="S75" s="64"/>
      <c r="T75" s="64"/>
      <c r="U75" s="120"/>
      <c r="Y75" s="1"/>
      <c r="Z75" s="2" t="s">
        <v>1</v>
      </c>
      <c r="AA75" s="13">
        <f>AA102</f>
        <v>450</v>
      </c>
      <c r="AB75" s="13">
        <f t="shared" ref="AB75:AF75" si="20">AB102</f>
        <v>450</v>
      </c>
      <c r="AC75" s="13">
        <f t="shared" si="20"/>
        <v>450</v>
      </c>
      <c r="AD75" s="13">
        <f t="shared" si="20"/>
        <v>450</v>
      </c>
      <c r="AE75" s="13">
        <f t="shared" si="20"/>
        <v>450</v>
      </c>
      <c r="AF75" s="13">
        <f t="shared" si="20"/>
        <v>450</v>
      </c>
    </row>
    <row r="76" spans="1:43" ht="15" customHeight="1">
      <c r="A76" s="412"/>
      <c r="B76" s="403"/>
      <c r="C76" s="31">
        <v>5</v>
      </c>
      <c r="D76" s="81"/>
      <c r="E76" s="77"/>
      <c r="F76" s="77"/>
      <c r="G76" s="77"/>
      <c r="H76" s="77"/>
      <c r="I76" s="77"/>
      <c r="J76" s="77"/>
      <c r="K76" s="77"/>
      <c r="L76" s="77"/>
      <c r="M76" s="77"/>
      <c r="N76" s="77"/>
      <c r="O76" s="77"/>
      <c r="P76" s="77"/>
      <c r="Q76" s="64"/>
      <c r="R76" s="64"/>
      <c r="S76" s="64"/>
      <c r="T76" s="64"/>
      <c r="U76" s="120"/>
      <c r="Y76" s="1"/>
      <c r="Z76" s="2" t="s">
        <v>111</v>
      </c>
      <c r="AA76" s="13">
        <v>4</v>
      </c>
      <c r="AB76" s="13">
        <v>4</v>
      </c>
      <c r="AC76" s="13">
        <v>4</v>
      </c>
      <c r="AD76" s="13">
        <v>4</v>
      </c>
      <c r="AE76" s="13">
        <v>4</v>
      </c>
      <c r="AF76" s="13">
        <v>4</v>
      </c>
    </row>
    <row r="77" spans="1:43" ht="15" customHeight="1" thickBot="1">
      <c r="A77" s="412"/>
      <c r="B77" s="404"/>
      <c r="C77" s="32">
        <v>6</v>
      </c>
      <c r="D77" s="94"/>
      <c r="E77" s="121"/>
      <c r="F77" s="121"/>
      <c r="G77" s="77"/>
      <c r="H77" s="77"/>
      <c r="I77" s="77"/>
      <c r="J77" s="77"/>
      <c r="K77" s="77"/>
      <c r="L77" s="77"/>
      <c r="M77" s="77"/>
      <c r="N77" s="77"/>
      <c r="O77" s="77"/>
      <c r="P77" s="77"/>
      <c r="Q77" s="64"/>
      <c r="R77" s="64"/>
      <c r="S77" s="64"/>
      <c r="T77" s="64"/>
      <c r="U77" s="120"/>
      <c r="Y77" s="1"/>
      <c r="Z77" s="1"/>
      <c r="AA77" s="18"/>
      <c r="AB77" s="18"/>
      <c r="AC77" s="18"/>
      <c r="AD77" s="18"/>
      <c r="AE77" s="18"/>
      <c r="AF77" s="18"/>
    </row>
    <row r="78" spans="1:43" ht="15" customHeight="1">
      <c r="A78" s="412"/>
      <c r="B78" s="403" t="s">
        <v>104</v>
      </c>
      <c r="C78" s="34">
        <v>1</v>
      </c>
      <c r="D78" s="78"/>
      <c r="E78" s="79"/>
      <c r="F78" s="80"/>
      <c r="G78" s="81"/>
      <c r="H78" s="77"/>
      <c r="I78" s="77"/>
      <c r="J78" s="77"/>
      <c r="K78" s="77"/>
      <c r="L78" s="77"/>
      <c r="M78" s="77"/>
      <c r="N78" s="77"/>
      <c r="O78" s="77"/>
      <c r="P78" s="77"/>
      <c r="Q78" s="64"/>
      <c r="R78" s="64"/>
      <c r="S78" s="64"/>
      <c r="T78" s="64"/>
      <c r="U78" s="120"/>
      <c r="Y78" s="1"/>
      <c r="Z78" s="21" t="s">
        <v>43</v>
      </c>
      <c r="AA78" s="18"/>
      <c r="AB78" s="18"/>
      <c r="AC78" s="18"/>
      <c r="AD78" s="18"/>
      <c r="AE78" s="18"/>
      <c r="AF78" s="18"/>
    </row>
    <row r="79" spans="1:43" ht="15" customHeight="1">
      <c r="A79" s="412"/>
      <c r="B79" s="403"/>
      <c r="C79" s="34">
        <v>2</v>
      </c>
      <c r="D79" s="82"/>
      <c r="E79" s="83"/>
      <c r="F79" s="84"/>
      <c r="G79" s="81"/>
      <c r="H79" s="77"/>
      <c r="I79" s="77"/>
      <c r="J79" s="77"/>
      <c r="K79" s="77"/>
      <c r="L79" s="77"/>
      <c r="M79" s="77"/>
      <c r="N79" s="77"/>
      <c r="O79" s="77"/>
      <c r="P79" s="77"/>
      <c r="Q79" s="64"/>
      <c r="R79" s="64"/>
      <c r="S79" s="64"/>
      <c r="T79" s="64"/>
      <c r="U79" s="120"/>
      <c r="Y79" s="4" t="s">
        <v>5</v>
      </c>
      <c r="Z79" s="12" t="s">
        <v>11</v>
      </c>
      <c r="AA79" s="16">
        <v>0</v>
      </c>
      <c r="AB79" s="16">
        <v>0</v>
      </c>
      <c r="AC79" s="16">
        <v>0</v>
      </c>
      <c r="AD79" s="17">
        <v>0</v>
      </c>
      <c r="AE79" s="17">
        <v>200</v>
      </c>
      <c r="AF79" s="17">
        <v>200</v>
      </c>
    </row>
    <row r="80" spans="1:43" ht="15" customHeight="1">
      <c r="A80" s="412"/>
      <c r="B80" s="403"/>
      <c r="C80" s="34">
        <v>3</v>
      </c>
      <c r="D80" s="85"/>
      <c r="E80" s="86"/>
      <c r="F80" s="87"/>
      <c r="G80" s="81"/>
      <c r="H80" s="64"/>
      <c r="I80" s="64"/>
      <c r="J80" s="64"/>
      <c r="K80" s="64"/>
      <c r="L80" s="64"/>
      <c r="M80" s="64"/>
      <c r="N80" s="64"/>
      <c r="O80" s="64"/>
      <c r="P80" s="64"/>
      <c r="Q80" s="64"/>
      <c r="R80" s="64"/>
      <c r="S80" s="64"/>
      <c r="T80" s="64"/>
      <c r="U80" s="120"/>
      <c r="Y80" s="9" t="s">
        <v>6</v>
      </c>
      <c r="Z80" s="6" t="s">
        <v>7</v>
      </c>
      <c r="AA80" s="18">
        <v>600</v>
      </c>
      <c r="AB80" s="18">
        <v>600</v>
      </c>
      <c r="AC80" s="18">
        <v>600</v>
      </c>
      <c r="AD80" s="18">
        <v>600</v>
      </c>
      <c r="AE80" s="18">
        <v>600</v>
      </c>
      <c r="AF80" s="18">
        <v>600</v>
      </c>
    </row>
    <row r="81" spans="1:32" ht="15" customHeight="1">
      <c r="A81" s="412"/>
      <c r="B81" s="403"/>
      <c r="C81" s="34">
        <v>4</v>
      </c>
      <c r="D81" s="85"/>
      <c r="E81" s="86"/>
      <c r="F81" s="87"/>
      <c r="G81" s="81"/>
      <c r="H81" s="64"/>
      <c r="I81" s="64"/>
      <c r="J81" s="64"/>
      <c r="K81" s="64"/>
      <c r="L81" s="64"/>
      <c r="M81" s="64"/>
      <c r="N81" s="64"/>
      <c r="O81" s="64"/>
      <c r="P81" s="64"/>
      <c r="Q81" s="64"/>
      <c r="R81" s="64"/>
      <c r="S81" s="64"/>
      <c r="T81" s="64"/>
      <c r="U81" s="120"/>
      <c r="Y81" s="9" t="s">
        <v>6</v>
      </c>
      <c r="Z81" s="6" t="s">
        <v>8</v>
      </c>
      <c r="AA81" s="18">
        <v>250</v>
      </c>
      <c r="AB81" s="18">
        <v>250</v>
      </c>
      <c r="AC81" s="18">
        <v>250</v>
      </c>
      <c r="AD81" s="18">
        <v>250</v>
      </c>
      <c r="AE81" s="18">
        <v>250</v>
      </c>
      <c r="AF81" s="18">
        <v>250</v>
      </c>
    </row>
    <row r="82" spans="1:32" ht="15" customHeight="1">
      <c r="A82" s="412"/>
      <c r="B82" s="403"/>
      <c r="C82" s="34">
        <v>5</v>
      </c>
      <c r="D82" s="85"/>
      <c r="E82" s="86"/>
      <c r="F82" s="87"/>
      <c r="G82" s="81"/>
      <c r="H82" s="64"/>
      <c r="I82" s="64"/>
      <c r="J82" s="64"/>
      <c r="K82" s="64"/>
      <c r="L82" s="64"/>
      <c r="M82" s="64"/>
      <c r="N82" s="64"/>
      <c r="O82" s="64"/>
      <c r="P82" s="64"/>
      <c r="Q82" s="64"/>
      <c r="R82" s="64"/>
      <c r="S82" s="64"/>
      <c r="T82" s="64"/>
      <c r="U82" s="120"/>
      <c r="Y82" s="9" t="s">
        <v>6</v>
      </c>
      <c r="Z82" s="10" t="s">
        <v>9</v>
      </c>
      <c r="AA82" s="20">
        <v>0</v>
      </c>
      <c r="AB82" s="20">
        <v>0</v>
      </c>
      <c r="AC82" s="20">
        <v>100</v>
      </c>
      <c r="AD82" s="20">
        <v>100</v>
      </c>
      <c r="AE82" s="20">
        <v>100</v>
      </c>
      <c r="AF82" s="20">
        <v>100</v>
      </c>
    </row>
    <row r="83" spans="1:32" ht="15" customHeight="1" thickBot="1">
      <c r="A83" s="412"/>
      <c r="B83" s="404"/>
      <c r="C83" s="35">
        <v>6</v>
      </c>
      <c r="D83" s="88"/>
      <c r="E83" s="89"/>
      <c r="F83" s="90"/>
      <c r="G83" s="81"/>
      <c r="H83" s="64"/>
      <c r="I83" s="64"/>
      <c r="J83" s="64"/>
      <c r="K83" s="64"/>
      <c r="L83" s="64"/>
      <c r="M83" s="64"/>
      <c r="N83" s="64"/>
      <c r="O83" s="64"/>
      <c r="P83" s="64"/>
      <c r="Q83" s="64"/>
      <c r="R83" s="64"/>
      <c r="S83" s="64"/>
      <c r="T83" s="64"/>
      <c r="U83" s="120"/>
      <c r="Y83" s="1"/>
      <c r="Z83" s="21" t="s">
        <v>12</v>
      </c>
      <c r="AA83" s="13"/>
      <c r="AB83" s="13"/>
      <c r="AC83" s="13"/>
      <c r="AD83" s="13"/>
      <c r="AE83" s="13"/>
      <c r="AF83" s="13"/>
    </row>
    <row r="84" spans="1:32" ht="15" customHeight="1">
      <c r="A84" s="412"/>
      <c r="B84" s="402" t="s">
        <v>106</v>
      </c>
      <c r="C84" s="33">
        <v>1</v>
      </c>
      <c r="D84" s="91"/>
      <c r="E84" s="92"/>
      <c r="F84" s="93"/>
      <c r="G84" s="81"/>
      <c r="H84" s="64"/>
      <c r="I84" s="64"/>
      <c r="J84" s="64"/>
      <c r="K84" s="64"/>
      <c r="L84" s="64"/>
      <c r="M84" s="64"/>
      <c r="N84" s="64"/>
      <c r="O84" s="64"/>
      <c r="P84" s="64"/>
      <c r="Q84" s="64"/>
      <c r="R84" s="64"/>
      <c r="S84" s="64"/>
      <c r="T84" s="64"/>
      <c r="U84" s="120"/>
      <c r="Y84" s="9" t="s">
        <v>6</v>
      </c>
      <c r="Z84" s="5" t="s">
        <v>22</v>
      </c>
      <c r="AA84" s="18">
        <v>50</v>
      </c>
      <c r="AB84" s="18">
        <v>50</v>
      </c>
      <c r="AC84" s="18">
        <v>50</v>
      </c>
      <c r="AD84" s="18">
        <v>50</v>
      </c>
      <c r="AE84" s="18">
        <v>50</v>
      </c>
      <c r="AF84" s="18">
        <v>50</v>
      </c>
    </row>
    <row r="85" spans="1:32" ht="15" customHeight="1">
      <c r="A85" s="412"/>
      <c r="B85" s="403"/>
      <c r="C85" s="34">
        <v>2</v>
      </c>
      <c r="D85" s="85"/>
      <c r="E85" s="86"/>
      <c r="F85" s="87"/>
      <c r="G85" s="81"/>
      <c r="H85" s="64"/>
      <c r="I85" s="64"/>
      <c r="J85" s="64"/>
      <c r="K85" s="64"/>
      <c r="L85" s="64"/>
      <c r="M85" s="64"/>
      <c r="N85" s="64"/>
      <c r="O85" s="64"/>
      <c r="P85" s="64"/>
      <c r="Q85" s="64"/>
      <c r="R85" s="64"/>
      <c r="S85" s="64"/>
      <c r="T85" s="64"/>
      <c r="U85" s="120"/>
      <c r="Y85" s="1"/>
      <c r="Z85" s="21" t="s">
        <v>13</v>
      </c>
      <c r="AA85" s="13"/>
      <c r="AB85" s="13"/>
      <c r="AC85" s="13"/>
      <c r="AD85" s="13"/>
      <c r="AE85" s="13"/>
      <c r="AF85" s="13"/>
    </row>
    <row r="86" spans="1:32" ht="15" customHeight="1">
      <c r="A86" s="412"/>
      <c r="B86" s="403"/>
      <c r="C86" s="34">
        <v>3</v>
      </c>
      <c r="D86" s="85"/>
      <c r="E86" s="86"/>
      <c r="F86" s="87"/>
      <c r="G86" s="81"/>
      <c r="H86" s="64"/>
      <c r="I86" s="64"/>
      <c r="J86" s="64"/>
      <c r="K86" s="64"/>
      <c r="L86" s="64"/>
      <c r="M86" s="64"/>
      <c r="N86" s="64"/>
      <c r="O86" s="64"/>
      <c r="P86" s="64"/>
      <c r="Q86" s="64"/>
      <c r="R86" s="64"/>
      <c r="S86" s="64"/>
      <c r="T86" s="64"/>
      <c r="U86" s="120"/>
      <c r="Y86" s="4" t="s">
        <v>5</v>
      </c>
      <c r="Z86" s="5" t="s">
        <v>27</v>
      </c>
      <c r="AA86" s="13">
        <v>450</v>
      </c>
      <c r="AB86" s="13">
        <v>450</v>
      </c>
      <c r="AC86" s="13">
        <v>450</v>
      </c>
      <c r="AD86" s="13">
        <v>450</v>
      </c>
      <c r="AE86" s="13">
        <v>450</v>
      </c>
      <c r="AF86" s="13">
        <v>450</v>
      </c>
    </row>
    <row r="87" spans="1:32" ht="15" customHeight="1">
      <c r="A87" s="412"/>
      <c r="B87" s="403"/>
      <c r="C87" s="34">
        <v>4</v>
      </c>
      <c r="D87" s="85"/>
      <c r="E87" s="86"/>
      <c r="F87" s="87"/>
      <c r="G87" s="81"/>
      <c r="H87" s="64"/>
      <c r="I87" s="64"/>
      <c r="J87" s="64"/>
      <c r="K87" s="64"/>
      <c r="L87" s="64"/>
      <c r="M87" s="64"/>
      <c r="N87" s="64"/>
      <c r="O87" s="64"/>
      <c r="P87" s="64"/>
      <c r="Q87" s="64"/>
      <c r="R87" s="64"/>
      <c r="S87" s="64"/>
      <c r="T87" s="64"/>
      <c r="U87" s="120"/>
      <c r="Y87" s="9" t="s">
        <v>6</v>
      </c>
      <c r="Z87" s="5" t="s">
        <v>28</v>
      </c>
      <c r="AA87" s="13">
        <v>250</v>
      </c>
      <c r="AB87" s="13">
        <v>250</v>
      </c>
      <c r="AC87" s="13">
        <v>250</v>
      </c>
      <c r="AD87" s="13">
        <v>250</v>
      </c>
      <c r="AE87" s="13">
        <v>250</v>
      </c>
      <c r="AF87" s="13">
        <v>250</v>
      </c>
    </row>
    <row r="88" spans="1:32" ht="15" customHeight="1">
      <c r="A88" s="412"/>
      <c r="B88" s="403"/>
      <c r="C88" s="34">
        <v>5</v>
      </c>
      <c r="D88" s="85"/>
      <c r="E88" s="86"/>
      <c r="F88" s="87"/>
      <c r="G88" s="81"/>
      <c r="H88" s="64"/>
      <c r="I88" s="64"/>
      <c r="J88" s="64"/>
      <c r="K88" s="64"/>
      <c r="L88" s="64"/>
      <c r="M88" s="64"/>
      <c r="N88" s="64"/>
      <c r="O88" s="64"/>
      <c r="P88" s="64"/>
      <c r="Q88" s="64"/>
      <c r="R88" s="64"/>
      <c r="S88" s="64"/>
      <c r="T88" s="64"/>
      <c r="U88" s="120"/>
      <c r="Y88" s="1"/>
      <c r="Z88" s="21" t="s">
        <v>31</v>
      </c>
      <c r="AA88" s="13"/>
      <c r="AB88" s="13"/>
      <c r="AC88" s="13"/>
      <c r="AD88" s="13"/>
      <c r="AE88" s="13"/>
      <c r="AF88" s="13"/>
    </row>
    <row r="89" spans="1:32" ht="15" customHeight="1" thickBot="1">
      <c r="A89" s="412"/>
      <c r="B89" s="404"/>
      <c r="C89" s="35">
        <v>6</v>
      </c>
      <c r="D89" s="88"/>
      <c r="E89" s="89"/>
      <c r="F89" s="90"/>
      <c r="G89" s="81"/>
      <c r="H89" s="64"/>
      <c r="I89" s="64"/>
      <c r="J89" s="64"/>
      <c r="K89" s="65"/>
      <c r="L89" s="65"/>
      <c r="M89" s="65"/>
      <c r="N89" s="65"/>
      <c r="O89" s="64"/>
      <c r="P89" s="64"/>
      <c r="Q89" s="64"/>
      <c r="R89" s="65"/>
      <c r="S89" s="65"/>
      <c r="T89" s="65"/>
      <c r="U89" s="122"/>
      <c r="Y89" s="4" t="s">
        <v>5</v>
      </c>
      <c r="Z89" s="5" t="s">
        <v>32</v>
      </c>
      <c r="AA89" s="13">
        <v>300</v>
      </c>
      <c r="AB89" s="13">
        <v>300</v>
      </c>
      <c r="AC89" s="13">
        <v>300</v>
      </c>
      <c r="AD89" s="13">
        <v>300</v>
      </c>
      <c r="AE89" s="13">
        <v>300</v>
      </c>
      <c r="AF89" s="13">
        <v>300</v>
      </c>
    </row>
    <row r="90" spans="1:32" ht="15" customHeight="1">
      <c r="A90" s="412"/>
      <c r="B90" s="402" t="s">
        <v>103</v>
      </c>
      <c r="C90" s="33">
        <v>1</v>
      </c>
      <c r="D90" s="123"/>
      <c r="E90" s="64"/>
      <c r="F90" s="124"/>
      <c r="G90" s="81"/>
      <c r="H90" s="64"/>
      <c r="I90" s="64"/>
      <c r="J90" s="64"/>
      <c r="K90" s="125"/>
      <c r="L90" s="128"/>
      <c r="M90" s="126"/>
      <c r="N90" s="127"/>
      <c r="O90" s="72"/>
      <c r="P90" s="64"/>
      <c r="Q90" s="120"/>
      <c r="R90" s="128"/>
      <c r="S90" s="126"/>
      <c r="T90" s="178"/>
      <c r="U90" s="127"/>
      <c r="Y90" s="4" t="s">
        <v>5</v>
      </c>
      <c r="Z90" s="5" t="s">
        <v>33</v>
      </c>
      <c r="AA90" s="13">
        <v>600</v>
      </c>
      <c r="AB90" s="13">
        <v>600</v>
      </c>
      <c r="AC90" s="13">
        <v>600</v>
      </c>
      <c r="AD90" s="13">
        <v>600</v>
      </c>
      <c r="AE90" s="13">
        <v>600</v>
      </c>
      <c r="AF90" s="13">
        <v>600</v>
      </c>
    </row>
    <row r="91" spans="1:32" ht="15" customHeight="1">
      <c r="A91" s="412"/>
      <c r="B91" s="403"/>
      <c r="C91" s="34">
        <v>2</v>
      </c>
      <c r="D91" s="85"/>
      <c r="E91" s="64"/>
      <c r="F91" s="129"/>
      <c r="G91" s="81"/>
      <c r="H91" s="64"/>
      <c r="I91" s="64"/>
      <c r="J91" s="64"/>
      <c r="K91" s="129"/>
      <c r="L91" s="85"/>
      <c r="M91" s="86"/>
      <c r="N91" s="87"/>
      <c r="O91" s="72"/>
      <c r="P91" s="64"/>
      <c r="Q91" s="120"/>
      <c r="R91" s="85"/>
      <c r="S91" s="86"/>
      <c r="T91" s="165"/>
      <c r="U91" s="87"/>
      <c r="Y91" s="4" t="s">
        <v>5</v>
      </c>
      <c r="Z91" s="5" t="s">
        <v>34</v>
      </c>
      <c r="AA91" s="13">
        <v>400</v>
      </c>
      <c r="AB91" s="13">
        <v>400</v>
      </c>
      <c r="AC91" s="13">
        <v>400</v>
      </c>
      <c r="AD91" s="13">
        <v>400</v>
      </c>
      <c r="AE91" s="13">
        <v>400</v>
      </c>
      <c r="AF91" s="13">
        <v>400</v>
      </c>
    </row>
    <row r="92" spans="1:32" ht="15" customHeight="1">
      <c r="A92" s="412"/>
      <c r="B92" s="403"/>
      <c r="C92" s="34">
        <v>3</v>
      </c>
      <c r="D92" s="85"/>
      <c r="E92" s="64"/>
      <c r="F92" s="129"/>
      <c r="G92" s="81"/>
      <c r="H92" s="64"/>
      <c r="I92" s="64"/>
      <c r="J92" s="64"/>
      <c r="K92" s="129"/>
      <c r="L92" s="85"/>
      <c r="M92" s="86"/>
      <c r="N92" s="87"/>
      <c r="O92" s="72"/>
      <c r="P92" s="64"/>
      <c r="Q92" s="120"/>
      <c r="R92" s="85"/>
      <c r="S92" s="86"/>
      <c r="T92" s="165"/>
      <c r="U92" s="87"/>
      <c r="Y92" s="9" t="s">
        <v>6</v>
      </c>
      <c r="Z92" s="5" t="s">
        <v>35</v>
      </c>
      <c r="AA92" s="13">
        <v>350</v>
      </c>
      <c r="AB92" s="13">
        <v>350</v>
      </c>
      <c r="AC92" s="13">
        <v>350</v>
      </c>
      <c r="AD92" s="13">
        <v>350</v>
      </c>
      <c r="AE92" s="13">
        <v>350</v>
      </c>
      <c r="AF92" s="13">
        <v>350</v>
      </c>
    </row>
    <row r="93" spans="1:32" ht="15" customHeight="1">
      <c r="A93" s="412"/>
      <c r="B93" s="403"/>
      <c r="C93" s="34">
        <v>4</v>
      </c>
      <c r="D93" s="85"/>
      <c r="E93" s="64"/>
      <c r="F93" s="129"/>
      <c r="G93" s="81"/>
      <c r="H93" s="64"/>
      <c r="I93" s="64"/>
      <c r="J93" s="64"/>
      <c r="K93" s="129"/>
      <c r="L93" s="85"/>
      <c r="M93" s="86"/>
      <c r="N93" s="87"/>
      <c r="O93" s="72"/>
      <c r="P93" s="64"/>
      <c r="Q93" s="120"/>
      <c r="R93" s="85"/>
      <c r="S93" s="86"/>
      <c r="T93" s="165"/>
      <c r="U93" s="87"/>
      <c r="Y93" s="1"/>
      <c r="Z93" s="21" t="s">
        <v>39</v>
      </c>
      <c r="AA93" s="13"/>
      <c r="AB93" s="13"/>
      <c r="AC93" s="13"/>
      <c r="AD93" s="13"/>
      <c r="AE93" s="13"/>
      <c r="AF93" s="13"/>
    </row>
    <row r="94" spans="1:32" ht="15" customHeight="1">
      <c r="A94" s="412"/>
      <c r="B94" s="403"/>
      <c r="C94" s="34">
        <v>5</v>
      </c>
      <c r="D94" s="85"/>
      <c r="E94" s="64"/>
      <c r="F94" s="129"/>
      <c r="G94" s="81"/>
      <c r="H94" s="64"/>
      <c r="I94" s="64"/>
      <c r="J94" s="64"/>
      <c r="K94" s="129"/>
      <c r="L94" s="85"/>
      <c r="M94" s="86"/>
      <c r="N94" s="87"/>
      <c r="O94" s="72"/>
      <c r="P94" s="64"/>
      <c r="Q94" s="120"/>
      <c r="R94" s="85"/>
      <c r="S94" s="86"/>
      <c r="T94" s="165"/>
      <c r="U94" s="87"/>
      <c r="Y94" s="4" t="s">
        <v>5</v>
      </c>
      <c r="Z94" s="5" t="s">
        <v>36</v>
      </c>
      <c r="AA94" s="13">
        <v>600</v>
      </c>
      <c r="AB94" s="13">
        <v>600</v>
      </c>
      <c r="AC94" s="13">
        <v>600</v>
      </c>
      <c r="AD94" s="13">
        <v>600</v>
      </c>
      <c r="AE94" s="13">
        <v>600</v>
      </c>
      <c r="AF94" s="13">
        <v>600</v>
      </c>
    </row>
    <row r="95" spans="1:32" ht="15" customHeight="1" thickBot="1">
      <c r="A95" s="412"/>
      <c r="B95" s="404"/>
      <c r="C95" s="35">
        <v>6</v>
      </c>
      <c r="D95" s="88"/>
      <c r="E95" s="64"/>
      <c r="F95" s="130"/>
      <c r="G95" s="81"/>
      <c r="H95" s="64"/>
      <c r="I95" s="64"/>
      <c r="J95" s="64"/>
      <c r="K95" s="130"/>
      <c r="L95" s="88"/>
      <c r="M95" s="89"/>
      <c r="N95" s="90"/>
      <c r="O95" s="72"/>
      <c r="P95" s="64"/>
      <c r="Q95" s="120"/>
      <c r="R95" s="88"/>
      <c r="S95" s="89"/>
      <c r="T95" s="166"/>
      <c r="U95" s="90"/>
      <c r="Y95" s="9" t="s">
        <v>6</v>
      </c>
      <c r="Z95" s="5" t="s">
        <v>37</v>
      </c>
      <c r="AA95" s="13">
        <v>800</v>
      </c>
      <c r="AB95" s="13">
        <v>800</v>
      </c>
      <c r="AC95" s="13">
        <v>800</v>
      </c>
      <c r="AD95" s="13">
        <v>800</v>
      </c>
      <c r="AE95" s="13">
        <v>800</v>
      </c>
      <c r="AF95" s="13">
        <v>800</v>
      </c>
    </row>
    <row r="96" spans="1:32" ht="15" customHeight="1">
      <c r="A96" s="412"/>
      <c r="B96" s="402" t="s">
        <v>102</v>
      </c>
      <c r="C96" s="33">
        <v>1</v>
      </c>
      <c r="D96" s="91"/>
      <c r="E96" s="64"/>
      <c r="F96" s="125"/>
      <c r="G96" s="81"/>
      <c r="H96" s="64"/>
      <c r="I96" s="64"/>
      <c r="J96" s="64"/>
      <c r="K96" s="124"/>
      <c r="L96" s="91"/>
      <c r="M96" s="92"/>
      <c r="N96" s="93"/>
      <c r="O96" s="72"/>
      <c r="P96" s="64"/>
      <c r="Q96" s="120"/>
      <c r="R96" s="91"/>
      <c r="S96" s="92"/>
      <c r="T96" s="164"/>
      <c r="U96" s="93"/>
      <c r="Y96" s="1"/>
      <c r="Z96" s="21" t="s">
        <v>29</v>
      </c>
      <c r="AA96" s="13"/>
      <c r="AB96" s="13"/>
      <c r="AC96" s="13"/>
      <c r="AD96" s="13"/>
      <c r="AE96" s="13"/>
      <c r="AF96" s="13"/>
    </row>
    <row r="97" spans="1:43" ht="15" customHeight="1">
      <c r="A97" s="412"/>
      <c r="B97" s="403"/>
      <c r="C97" s="34">
        <v>2</v>
      </c>
      <c r="D97" s="85"/>
      <c r="E97" s="64"/>
      <c r="F97" s="129"/>
      <c r="G97" s="81"/>
      <c r="H97" s="64"/>
      <c r="I97" s="64"/>
      <c r="J97" s="64"/>
      <c r="K97" s="129"/>
      <c r="L97" s="85"/>
      <c r="M97" s="86"/>
      <c r="N97" s="87"/>
      <c r="O97" s="72"/>
      <c r="P97" s="64"/>
      <c r="Q97" s="120"/>
      <c r="R97" s="85"/>
      <c r="S97" s="86"/>
      <c r="T97" s="165"/>
      <c r="U97" s="87"/>
      <c r="Y97" s="4" t="s">
        <v>5</v>
      </c>
      <c r="Z97" s="5" t="s">
        <v>38</v>
      </c>
      <c r="AA97" s="13">
        <v>500</v>
      </c>
      <c r="AB97" s="13">
        <v>500</v>
      </c>
      <c r="AC97" s="13">
        <v>500</v>
      </c>
      <c r="AD97" s="13">
        <v>500</v>
      </c>
      <c r="AE97" s="13">
        <v>500</v>
      </c>
      <c r="AF97" s="13">
        <v>500</v>
      </c>
    </row>
    <row r="98" spans="1:43" ht="15" customHeight="1">
      <c r="A98" s="412"/>
      <c r="B98" s="403"/>
      <c r="C98" s="34">
        <v>3</v>
      </c>
      <c r="D98" s="85"/>
      <c r="E98" s="64"/>
      <c r="F98" s="129"/>
      <c r="G98" s="81"/>
      <c r="H98" s="64"/>
      <c r="I98" s="64"/>
      <c r="J98" s="64"/>
      <c r="K98" s="129"/>
      <c r="L98" s="85"/>
      <c r="M98" s="86"/>
      <c r="N98" s="87"/>
      <c r="O98" s="72"/>
      <c r="P98" s="64"/>
      <c r="Q98" s="120"/>
      <c r="R98" s="85"/>
      <c r="S98" s="86"/>
      <c r="T98" s="165"/>
      <c r="U98" s="87"/>
      <c r="Y98" s="1"/>
      <c r="Z98" s="21" t="s">
        <v>72</v>
      </c>
      <c r="AA98" s="13"/>
      <c r="AB98" s="13"/>
      <c r="AC98" s="13"/>
      <c r="AD98" s="13"/>
      <c r="AE98" s="13"/>
      <c r="AF98" s="13"/>
    </row>
    <row r="99" spans="1:43" ht="15" customHeight="1">
      <c r="A99" s="412"/>
      <c r="B99" s="403"/>
      <c r="C99" s="34">
        <v>4</v>
      </c>
      <c r="D99" s="85"/>
      <c r="E99" s="64"/>
      <c r="F99" s="129"/>
      <c r="G99" s="81"/>
      <c r="H99" s="64"/>
      <c r="I99" s="64"/>
      <c r="J99" s="64"/>
      <c r="K99" s="129"/>
      <c r="L99" s="85"/>
      <c r="M99" s="86"/>
      <c r="N99" s="87"/>
      <c r="O99" s="72"/>
      <c r="P99" s="64"/>
      <c r="Q99" s="120"/>
      <c r="R99" s="85"/>
      <c r="S99" s="86"/>
      <c r="T99" s="165"/>
      <c r="U99" s="87"/>
      <c r="Y99" s="4" t="s">
        <v>5</v>
      </c>
      <c r="Z99" s="5" t="s">
        <v>24</v>
      </c>
      <c r="AA99" s="13">
        <v>450</v>
      </c>
      <c r="AB99" s="13">
        <v>450</v>
      </c>
      <c r="AC99" s="13">
        <v>450</v>
      </c>
      <c r="AD99" s="13">
        <v>450</v>
      </c>
      <c r="AE99" s="13">
        <v>450</v>
      </c>
      <c r="AF99" s="13">
        <v>450</v>
      </c>
    </row>
    <row r="100" spans="1:43" ht="15" customHeight="1">
      <c r="A100" s="412"/>
      <c r="B100" s="403"/>
      <c r="C100" s="34">
        <v>5</v>
      </c>
      <c r="D100" s="85"/>
      <c r="E100" s="64"/>
      <c r="F100" s="129"/>
      <c r="G100" s="81"/>
      <c r="H100" s="64"/>
      <c r="I100" s="64"/>
      <c r="J100" s="64"/>
      <c r="K100" s="129"/>
      <c r="L100" s="85"/>
      <c r="M100" s="86"/>
      <c r="N100" s="87"/>
      <c r="O100" s="72"/>
      <c r="P100" s="64"/>
      <c r="Q100" s="120"/>
      <c r="R100" s="85"/>
      <c r="S100" s="86"/>
      <c r="T100" s="165"/>
      <c r="U100" s="87"/>
      <c r="Y100" s="49" t="s">
        <v>112</v>
      </c>
      <c r="Z100" s="5"/>
      <c r="AA100" s="13">
        <f>SUM(AA79,AA86,AA89,AA90,AA91,AA94,AA97)</f>
        <v>2850</v>
      </c>
      <c r="AB100" s="13">
        <f t="shared" ref="AB100:AF100" si="21">SUM(AB79,AB86,AB89,AB90,AB91,AB94,AB97)</f>
        <v>2850</v>
      </c>
      <c r="AC100" s="13">
        <f t="shared" si="21"/>
        <v>2850</v>
      </c>
      <c r="AD100" s="13">
        <f t="shared" si="21"/>
        <v>2850</v>
      </c>
      <c r="AE100" s="13">
        <f t="shared" si="21"/>
        <v>3050</v>
      </c>
      <c r="AF100" s="13">
        <f t="shared" si="21"/>
        <v>3050</v>
      </c>
    </row>
    <row r="101" spans="1:43" ht="15" customHeight="1" thickBot="1">
      <c r="A101" s="412"/>
      <c r="B101" s="404"/>
      <c r="C101" s="35">
        <v>6</v>
      </c>
      <c r="D101" s="88"/>
      <c r="E101" s="64"/>
      <c r="F101" s="130"/>
      <c r="G101" s="81"/>
      <c r="H101" s="64"/>
      <c r="I101" s="64"/>
      <c r="J101" s="64"/>
      <c r="K101" s="130"/>
      <c r="L101" s="88"/>
      <c r="M101" s="89"/>
      <c r="N101" s="90"/>
      <c r="O101" s="72"/>
      <c r="P101" s="64"/>
      <c r="Q101" s="120"/>
      <c r="R101" s="88"/>
      <c r="S101" s="89"/>
      <c r="T101" s="166"/>
      <c r="U101" s="90"/>
      <c r="Y101" s="49" t="s">
        <v>113</v>
      </c>
      <c r="Z101" s="5"/>
      <c r="AA101" s="13">
        <f>SUM(AA80,AA81,AA82,AA84,AA87,AA92,AA95)</f>
        <v>2300</v>
      </c>
      <c r="AB101" s="13">
        <f t="shared" ref="AB101:AF101" si="22">SUM(AB80,AB81,AB82,AB84,AB87,AB92,AB95)</f>
        <v>2300</v>
      </c>
      <c r="AC101" s="13">
        <f t="shared" si="22"/>
        <v>2400</v>
      </c>
      <c r="AD101" s="13">
        <f t="shared" si="22"/>
        <v>2400</v>
      </c>
      <c r="AE101" s="13">
        <f t="shared" si="22"/>
        <v>2400</v>
      </c>
      <c r="AF101" s="13">
        <f t="shared" si="22"/>
        <v>2400</v>
      </c>
    </row>
    <row r="102" spans="1:43" ht="15" customHeight="1">
      <c r="A102" s="412"/>
      <c r="B102" s="402" t="s">
        <v>101</v>
      </c>
      <c r="C102" s="33">
        <v>1</v>
      </c>
      <c r="D102" s="91"/>
      <c r="E102" s="64"/>
      <c r="F102" s="125"/>
      <c r="G102" s="81"/>
      <c r="H102" s="64"/>
      <c r="I102" s="64"/>
      <c r="J102" s="64"/>
      <c r="K102" s="124"/>
      <c r="L102" s="91"/>
      <c r="M102" s="92"/>
      <c r="N102" s="93"/>
      <c r="O102" s="72"/>
      <c r="P102" s="64"/>
      <c r="Q102" s="120"/>
      <c r="R102" s="91"/>
      <c r="S102" s="92"/>
      <c r="T102" s="164"/>
      <c r="U102" s="93"/>
      <c r="Y102" s="49" t="s">
        <v>114</v>
      </c>
      <c r="Z102" s="5"/>
      <c r="AA102" s="13">
        <f>AA99</f>
        <v>450</v>
      </c>
      <c r="AB102" s="13">
        <f t="shared" ref="AB102:AF102" si="23">AB99</f>
        <v>450</v>
      </c>
      <c r="AC102" s="13">
        <f t="shared" si="23"/>
        <v>450</v>
      </c>
      <c r="AD102" s="13">
        <f t="shared" si="23"/>
        <v>450</v>
      </c>
      <c r="AE102" s="13">
        <f t="shared" si="23"/>
        <v>450</v>
      </c>
      <c r="AF102" s="13">
        <f t="shared" si="23"/>
        <v>450</v>
      </c>
    </row>
    <row r="103" spans="1:43" ht="15" customHeight="1">
      <c r="A103" s="412"/>
      <c r="B103" s="403"/>
      <c r="C103" s="34">
        <v>2</v>
      </c>
      <c r="D103" s="85"/>
      <c r="E103" s="64"/>
      <c r="F103" s="129"/>
      <c r="G103" s="81"/>
      <c r="H103" s="64"/>
      <c r="I103" s="64"/>
      <c r="J103" s="64"/>
      <c r="K103" s="129"/>
      <c r="L103" s="85"/>
      <c r="M103" s="86"/>
      <c r="N103" s="87"/>
      <c r="O103" s="72"/>
      <c r="P103" s="64"/>
      <c r="Q103" s="120"/>
      <c r="R103" s="85"/>
      <c r="S103" s="86"/>
      <c r="T103" s="165"/>
      <c r="U103" s="87"/>
    </row>
    <row r="104" spans="1:43" ht="15" customHeight="1">
      <c r="A104" s="412"/>
      <c r="B104" s="403"/>
      <c r="C104" s="34">
        <v>3</v>
      </c>
      <c r="D104" s="85"/>
      <c r="E104" s="64"/>
      <c r="F104" s="129"/>
      <c r="G104" s="81"/>
      <c r="H104" s="64"/>
      <c r="I104" s="64"/>
      <c r="J104" s="64"/>
      <c r="K104" s="129"/>
      <c r="L104" s="85"/>
      <c r="M104" s="86"/>
      <c r="N104" s="87"/>
      <c r="O104" s="72"/>
      <c r="P104" s="64"/>
      <c r="Q104" s="120"/>
      <c r="R104" s="85"/>
      <c r="S104" s="86"/>
      <c r="T104" s="165"/>
      <c r="U104" s="87"/>
      <c r="AJ104" s="1"/>
      <c r="AK104" s="1"/>
      <c r="AL104" s="13"/>
      <c r="AM104" s="13"/>
      <c r="AN104" s="13"/>
      <c r="AO104" s="13"/>
      <c r="AP104" s="13"/>
      <c r="AQ104" s="13"/>
    </row>
    <row r="105" spans="1:43" ht="15" customHeight="1">
      <c r="A105" s="412"/>
      <c r="B105" s="403"/>
      <c r="C105" s="34">
        <v>4</v>
      </c>
      <c r="D105" s="85"/>
      <c r="E105" s="64"/>
      <c r="F105" s="129"/>
      <c r="G105" s="81"/>
      <c r="H105" s="64"/>
      <c r="I105" s="64"/>
      <c r="J105" s="64"/>
      <c r="K105" s="129"/>
      <c r="L105" s="85"/>
      <c r="M105" s="86"/>
      <c r="N105" s="87"/>
      <c r="O105" s="72"/>
      <c r="P105" s="64"/>
      <c r="Q105" s="120"/>
      <c r="R105" s="85"/>
      <c r="S105" s="86"/>
      <c r="T105" s="165"/>
      <c r="U105" s="87"/>
    </row>
    <row r="106" spans="1:43" ht="15" customHeight="1">
      <c r="A106" s="412"/>
      <c r="B106" s="403"/>
      <c r="C106" s="34">
        <v>5</v>
      </c>
      <c r="D106" s="85"/>
      <c r="E106" s="64"/>
      <c r="F106" s="129"/>
      <c r="G106" s="81"/>
      <c r="H106" s="64"/>
      <c r="I106" s="64"/>
      <c r="J106" s="64"/>
      <c r="K106" s="129"/>
      <c r="L106" s="85"/>
      <c r="M106" s="86"/>
      <c r="N106" s="87"/>
      <c r="O106" s="72"/>
      <c r="P106" s="64"/>
      <c r="Q106" s="120"/>
      <c r="R106" s="85"/>
      <c r="S106" s="86"/>
      <c r="T106" s="165"/>
      <c r="U106" s="87"/>
    </row>
    <row r="107" spans="1:43" ht="15" customHeight="1" thickBot="1">
      <c r="A107" s="413"/>
      <c r="B107" s="404"/>
      <c r="C107" s="35">
        <v>6</v>
      </c>
      <c r="D107" s="88"/>
      <c r="E107" s="131"/>
      <c r="F107" s="130"/>
      <c r="G107" s="94"/>
      <c r="H107" s="65"/>
      <c r="I107" s="64"/>
      <c r="J107" s="64"/>
      <c r="K107" s="130"/>
      <c r="L107" s="88"/>
      <c r="M107" s="89"/>
      <c r="N107" s="90"/>
      <c r="O107" s="73"/>
      <c r="P107" s="65"/>
      <c r="Q107" s="122"/>
      <c r="R107" s="88"/>
      <c r="S107" s="89"/>
      <c r="T107" s="166"/>
      <c r="U107" s="90"/>
    </row>
    <row r="108" spans="1:43" ht="15" customHeight="1" thickBot="1">
      <c r="A108" s="37"/>
      <c r="B108" s="38"/>
      <c r="C108" s="39"/>
      <c r="D108" s="141"/>
      <c r="E108" s="141"/>
      <c r="F108" s="141"/>
      <c r="G108" s="141"/>
      <c r="H108" s="142"/>
      <c r="I108" s="142"/>
      <c r="J108" s="142"/>
      <c r="K108" s="142"/>
      <c r="L108" s="142"/>
      <c r="M108" s="142"/>
      <c r="N108" s="142"/>
      <c r="O108" s="142"/>
      <c r="P108" s="142"/>
      <c r="Q108" s="142"/>
      <c r="R108" s="142"/>
      <c r="S108" s="142"/>
      <c r="T108" s="142"/>
      <c r="U108" s="143"/>
      <c r="Y108" s="401" t="s">
        <v>42</v>
      </c>
      <c r="Z108" s="401"/>
      <c r="AA108" s="13"/>
      <c r="AB108" s="13"/>
      <c r="AC108" s="13"/>
      <c r="AD108" s="13"/>
      <c r="AE108" s="13"/>
      <c r="AF108" s="13"/>
    </row>
    <row r="109" spans="1:43" ht="15" customHeight="1">
      <c r="A109" s="412" t="s">
        <v>98</v>
      </c>
      <c r="B109" s="403" t="s">
        <v>105</v>
      </c>
      <c r="C109" s="34">
        <v>1</v>
      </c>
      <c r="D109" s="116"/>
      <c r="E109" s="117"/>
      <c r="F109" s="117"/>
      <c r="G109" s="117"/>
      <c r="H109" s="117"/>
      <c r="I109" s="117"/>
      <c r="J109" s="117"/>
      <c r="K109" s="117"/>
      <c r="L109" s="117"/>
      <c r="M109" s="117"/>
      <c r="N109" s="117"/>
      <c r="O109" s="117"/>
      <c r="P109" s="118"/>
      <c r="Q109" s="118"/>
      <c r="R109" s="118"/>
      <c r="S109" s="118"/>
      <c r="T109" s="118"/>
      <c r="U109" s="119"/>
      <c r="Y109" s="1"/>
      <c r="Z109" s="3" t="s">
        <v>77</v>
      </c>
      <c r="AA109" s="13">
        <v>50</v>
      </c>
      <c r="AB109" s="13">
        <v>50</v>
      </c>
      <c r="AC109" s="13">
        <v>50</v>
      </c>
      <c r="AD109" s="13">
        <v>50</v>
      </c>
      <c r="AE109" s="13">
        <v>50</v>
      </c>
      <c r="AF109" s="13">
        <v>50</v>
      </c>
    </row>
    <row r="110" spans="1:43" ht="15" customHeight="1">
      <c r="A110" s="412"/>
      <c r="B110" s="403"/>
      <c r="C110" s="34">
        <v>2</v>
      </c>
      <c r="D110" s="81"/>
      <c r="E110" s="77"/>
      <c r="F110" s="77"/>
      <c r="G110" s="77"/>
      <c r="H110" s="77"/>
      <c r="I110" s="77"/>
      <c r="J110" s="77"/>
      <c r="K110" s="77"/>
      <c r="L110" s="77"/>
      <c r="M110" s="77"/>
      <c r="N110" s="77"/>
      <c r="O110" s="77"/>
      <c r="P110" s="64"/>
      <c r="Q110" s="64"/>
      <c r="R110" s="64"/>
      <c r="S110" s="64"/>
      <c r="T110" s="64"/>
      <c r="U110" s="120"/>
      <c r="Y110" s="1"/>
      <c r="Z110" s="3" t="s">
        <v>79</v>
      </c>
      <c r="AA110" s="18">
        <f>AA109/365</f>
        <v>0.13698630136986301</v>
      </c>
      <c r="AB110" s="18">
        <f t="shared" ref="AB110:AF110" si="24">AB109/365</f>
        <v>0.13698630136986301</v>
      </c>
      <c r="AC110" s="18">
        <f t="shared" si="24"/>
        <v>0.13698630136986301</v>
      </c>
      <c r="AD110" s="18">
        <f t="shared" si="24"/>
        <v>0.13698630136986301</v>
      </c>
      <c r="AE110" s="18">
        <f t="shared" si="24"/>
        <v>0.13698630136986301</v>
      </c>
      <c r="AF110" s="18">
        <f t="shared" si="24"/>
        <v>0.13698630136986301</v>
      </c>
    </row>
    <row r="111" spans="1:43" ht="15" customHeight="1">
      <c r="A111" s="412"/>
      <c r="B111" s="403"/>
      <c r="C111" s="34">
        <v>3</v>
      </c>
      <c r="D111" s="81"/>
      <c r="E111" s="77"/>
      <c r="F111" s="77"/>
      <c r="G111" s="77"/>
      <c r="H111" s="77"/>
      <c r="I111" s="77"/>
      <c r="J111" s="77"/>
      <c r="K111" s="77"/>
      <c r="L111" s="77"/>
      <c r="M111" s="77"/>
      <c r="N111" s="77"/>
      <c r="O111" s="77"/>
      <c r="P111" s="77"/>
      <c r="Q111" s="64"/>
      <c r="R111" s="64"/>
      <c r="S111" s="64"/>
      <c r="T111" s="64"/>
      <c r="U111" s="120"/>
      <c r="Y111" s="1"/>
      <c r="Z111" s="2" t="s">
        <v>80</v>
      </c>
      <c r="AA111" s="13">
        <v>70</v>
      </c>
      <c r="AB111" s="13">
        <v>70</v>
      </c>
      <c r="AC111" s="13">
        <v>70</v>
      </c>
      <c r="AD111" s="13">
        <v>70</v>
      </c>
      <c r="AE111" s="13">
        <v>70</v>
      </c>
      <c r="AF111" s="13">
        <v>70</v>
      </c>
    </row>
    <row r="112" spans="1:43" ht="15" customHeight="1">
      <c r="A112" s="412"/>
      <c r="B112" s="403"/>
      <c r="C112" s="34">
        <v>4</v>
      </c>
      <c r="D112" s="81"/>
      <c r="E112" s="77"/>
      <c r="F112" s="77"/>
      <c r="G112" s="77"/>
      <c r="H112" s="77"/>
      <c r="I112" s="77"/>
      <c r="J112" s="77"/>
      <c r="K112" s="77"/>
      <c r="L112" s="77"/>
      <c r="M112" s="77"/>
      <c r="N112" s="77"/>
      <c r="O112" s="77"/>
      <c r="P112" s="77"/>
      <c r="Q112" s="64"/>
      <c r="R112" s="64"/>
      <c r="S112" s="64"/>
      <c r="T112" s="64"/>
      <c r="U112" s="120"/>
      <c r="Y112" s="1"/>
      <c r="Z112" s="2" t="s">
        <v>2</v>
      </c>
      <c r="AA112" s="13">
        <v>40</v>
      </c>
      <c r="AB112" s="13">
        <v>40</v>
      </c>
      <c r="AC112" s="13">
        <v>40</v>
      </c>
      <c r="AD112" s="13">
        <v>40</v>
      </c>
      <c r="AE112" s="13">
        <v>40</v>
      </c>
      <c r="AF112" s="13">
        <v>40</v>
      </c>
    </row>
    <row r="113" spans="1:43" ht="15" customHeight="1">
      <c r="A113" s="412"/>
      <c r="B113" s="403"/>
      <c r="C113" s="34">
        <v>5</v>
      </c>
      <c r="D113" s="81"/>
      <c r="E113" s="77"/>
      <c r="F113" s="77"/>
      <c r="G113" s="77"/>
      <c r="H113" s="77"/>
      <c r="I113" s="77"/>
      <c r="J113" s="77"/>
      <c r="K113" s="77"/>
      <c r="L113" s="77"/>
      <c r="M113" s="77"/>
      <c r="N113" s="77"/>
      <c r="O113" s="77"/>
      <c r="P113" s="77"/>
      <c r="Q113" s="64"/>
      <c r="R113" s="64"/>
      <c r="S113" s="64"/>
      <c r="T113" s="64"/>
      <c r="U113" s="120"/>
      <c r="Y113" s="1"/>
      <c r="Z113" s="2" t="s">
        <v>3</v>
      </c>
      <c r="AA113" s="13">
        <v>30</v>
      </c>
      <c r="AB113" s="13">
        <v>30</v>
      </c>
      <c r="AC113" s="13">
        <v>30</v>
      </c>
      <c r="AD113" s="13">
        <v>30</v>
      </c>
      <c r="AE113" s="13">
        <v>30</v>
      </c>
      <c r="AF113" s="13">
        <v>30</v>
      </c>
    </row>
    <row r="114" spans="1:43" ht="15" customHeight="1" thickBot="1">
      <c r="A114" s="412"/>
      <c r="B114" s="404"/>
      <c r="C114" s="35">
        <v>6</v>
      </c>
      <c r="D114" s="81"/>
      <c r="E114" s="77"/>
      <c r="F114" s="77"/>
      <c r="G114" s="77"/>
      <c r="H114" s="77"/>
      <c r="I114" s="77"/>
      <c r="J114" s="77"/>
      <c r="K114" s="77"/>
      <c r="L114" s="77"/>
      <c r="M114" s="77"/>
      <c r="N114" s="77"/>
      <c r="O114" s="77"/>
      <c r="P114" s="77"/>
      <c r="Q114" s="64"/>
      <c r="R114" s="64"/>
      <c r="S114" s="64"/>
      <c r="T114" s="64"/>
      <c r="U114" s="120"/>
      <c r="Y114" s="1"/>
      <c r="Z114" s="2" t="s">
        <v>0</v>
      </c>
      <c r="AA114" s="13">
        <v>0</v>
      </c>
      <c r="AB114" s="13">
        <v>0</v>
      </c>
      <c r="AC114" s="13">
        <v>0</v>
      </c>
      <c r="AD114" s="13">
        <v>0</v>
      </c>
      <c r="AE114" s="13">
        <v>0</v>
      </c>
      <c r="AF114" s="13">
        <v>0</v>
      </c>
    </row>
    <row r="115" spans="1:43" ht="15" customHeight="1">
      <c r="A115" s="412"/>
      <c r="B115" s="402" t="s">
        <v>110</v>
      </c>
      <c r="C115" s="33">
        <v>1</v>
      </c>
      <c r="D115" s="81"/>
      <c r="E115" s="77"/>
      <c r="F115" s="77"/>
      <c r="G115" s="77"/>
      <c r="H115" s="77"/>
      <c r="I115" s="77"/>
      <c r="J115" s="77"/>
      <c r="K115" s="77"/>
      <c r="L115" s="77"/>
      <c r="M115" s="77"/>
      <c r="N115" s="77"/>
      <c r="O115" s="77"/>
      <c r="P115" s="77"/>
      <c r="Q115" s="64"/>
      <c r="R115" s="64"/>
      <c r="S115" s="64"/>
      <c r="T115" s="64"/>
      <c r="U115" s="120"/>
      <c r="Y115" s="1"/>
      <c r="Z115" s="2" t="s">
        <v>83</v>
      </c>
      <c r="AA115" s="13">
        <f>AA114/365</f>
        <v>0</v>
      </c>
      <c r="AB115" s="13">
        <f t="shared" ref="AB115:AF115" si="25">AB114/365</f>
        <v>0</v>
      </c>
      <c r="AC115" s="13">
        <f t="shared" si="25"/>
        <v>0</v>
      </c>
      <c r="AD115" s="13">
        <f t="shared" si="25"/>
        <v>0</v>
      </c>
      <c r="AE115" s="13">
        <f t="shared" si="25"/>
        <v>0</v>
      </c>
      <c r="AF115" s="13">
        <f t="shared" si="25"/>
        <v>0</v>
      </c>
    </row>
    <row r="116" spans="1:43" ht="15" customHeight="1">
      <c r="A116" s="412"/>
      <c r="B116" s="403"/>
      <c r="C116" s="34">
        <v>2</v>
      </c>
      <c r="D116" s="81"/>
      <c r="E116" s="77"/>
      <c r="F116" s="77"/>
      <c r="G116" s="77"/>
      <c r="H116" s="77"/>
      <c r="I116" s="77"/>
      <c r="J116" s="77"/>
      <c r="K116" s="77"/>
      <c r="L116" s="77"/>
      <c r="M116" s="77"/>
      <c r="N116" s="77"/>
      <c r="O116" s="77"/>
      <c r="P116" s="77"/>
      <c r="Q116" s="64"/>
      <c r="R116" s="64"/>
      <c r="S116" s="64"/>
      <c r="T116" s="64"/>
      <c r="U116" s="120"/>
      <c r="Y116" s="1"/>
      <c r="Z116" s="2" t="s">
        <v>81</v>
      </c>
      <c r="AA116" s="13">
        <v>0</v>
      </c>
      <c r="AB116" s="13">
        <v>0</v>
      </c>
      <c r="AC116" s="13">
        <v>0</v>
      </c>
      <c r="AD116" s="13">
        <v>0</v>
      </c>
      <c r="AE116" s="13">
        <v>0</v>
      </c>
      <c r="AF116" s="13">
        <v>0</v>
      </c>
    </row>
    <row r="117" spans="1:43" ht="15" customHeight="1">
      <c r="A117" s="412"/>
      <c r="B117" s="403"/>
      <c r="C117" s="34">
        <v>3</v>
      </c>
      <c r="D117" s="81"/>
      <c r="E117" s="77"/>
      <c r="F117" s="77"/>
      <c r="G117" s="77"/>
      <c r="H117" s="77"/>
      <c r="I117" s="77"/>
      <c r="J117" s="77"/>
      <c r="K117" s="77"/>
      <c r="L117" s="77"/>
      <c r="M117" s="77"/>
      <c r="N117" s="77"/>
      <c r="O117" s="77"/>
      <c r="P117" s="77"/>
      <c r="Q117" s="64"/>
      <c r="R117" s="64"/>
      <c r="S117" s="64"/>
      <c r="T117" s="64"/>
      <c r="U117" s="120"/>
      <c r="Y117" s="1"/>
      <c r="Z117" s="2" t="s">
        <v>82</v>
      </c>
      <c r="AA117" s="13">
        <v>0</v>
      </c>
      <c r="AB117" s="13">
        <v>0</v>
      </c>
      <c r="AC117" s="13">
        <v>0</v>
      </c>
      <c r="AD117" s="13">
        <v>0</v>
      </c>
      <c r="AE117" s="13">
        <v>0</v>
      </c>
      <c r="AF117" s="13">
        <v>0</v>
      </c>
    </row>
    <row r="118" spans="1:43" ht="15" customHeight="1">
      <c r="A118" s="412"/>
      <c r="B118" s="403"/>
      <c r="C118" s="34">
        <v>4</v>
      </c>
      <c r="D118" s="81"/>
      <c r="E118" s="77"/>
      <c r="F118" s="77"/>
      <c r="G118" s="77"/>
      <c r="H118" s="77"/>
      <c r="I118" s="77"/>
      <c r="J118" s="77"/>
      <c r="K118" s="77"/>
      <c r="L118" s="77"/>
      <c r="M118" s="77"/>
      <c r="N118" s="77"/>
      <c r="O118" s="77"/>
      <c r="P118" s="77"/>
      <c r="Q118" s="64"/>
      <c r="R118" s="64"/>
      <c r="S118" s="64"/>
      <c r="T118" s="64"/>
      <c r="U118" s="120"/>
      <c r="Y118" s="1"/>
      <c r="Z118" s="2" t="s">
        <v>1</v>
      </c>
      <c r="AA118" s="13">
        <v>0</v>
      </c>
      <c r="AB118" s="13">
        <v>0</v>
      </c>
      <c r="AC118" s="13">
        <v>0</v>
      </c>
      <c r="AD118" s="13">
        <v>0</v>
      </c>
      <c r="AE118" s="13">
        <v>0</v>
      </c>
      <c r="AF118" s="13">
        <v>0</v>
      </c>
    </row>
    <row r="119" spans="1:43" ht="15" customHeight="1">
      <c r="A119" s="412"/>
      <c r="B119" s="403"/>
      <c r="C119" s="34">
        <v>5</v>
      </c>
      <c r="D119" s="81"/>
      <c r="E119" s="77"/>
      <c r="F119" s="77"/>
      <c r="G119" s="77"/>
      <c r="H119" s="77"/>
      <c r="I119" s="77"/>
      <c r="J119" s="77"/>
      <c r="K119" s="77"/>
      <c r="L119" s="77"/>
      <c r="M119" s="77"/>
      <c r="N119" s="77"/>
      <c r="O119" s="77"/>
      <c r="P119" s="77"/>
      <c r="Q119" s="64"/>
      <c r="R119" s="64"/>
      <c r="S119" s="64"/>
      <c r="T119" s="64"/>
      <c r="U119" s="120"/>
      <c r="Y119" s="1"/>
      <c r="Z119" s="2" t="s">
        <v>111</v>
      </c>
      <c r="AA119" s="13">
        <v>2</v>
      </c>
      <c r="AB119" s="13">
        <v>2</v>
      </c>
      <c r="AC119" s="13">
        <v>2</v>
      </c>
      <c r="AD119" s="13">
        <v>2</v>
      </c>
      <c r="AE119" s="13">
        <v>2</v>
      </c>
      <c r="AF119" s="13">
        <v>2</v>
      </c>
    </row>
    <row r="120" spans="1:43" ht="15" customHeight="1" thickBot="1">
      <c r="A120" s="412"/>
      <c r="B120" s="404"/>
      <c r="C120" s="35">
        <v>6</v>
      </c>
      <c r="D120" s="94"/>
      <c r="E120" s="121"/>
      <c r="F120" s="121"/>
      <c r="G120" s="77"/>
      <c r="H120" s="77"/>
      <c r="I120" s="77"/>
      <c r="J120" s="77"/>
      <c r="K120" s="77"/>
      <c r="L120" s="77"/>
      <c r="M120" s="77"/>
      <c r="N120" s="77"/>
      <c r="O120" s="77"/>
      <c r="P120" s="77"/>
      <c r="Q120" s="64"/>
      <c r="R120" s="64"/>
      <c r="S120" s="64"/>
      <c r="T120" s="64"/>
      <c r="U120" s="120"/>
      <c r="Y120" s="1"/>
      <c r="Z120" s="1"/>
      <c r="AA120" s="13"/>
      <c r="AB120" s="13"/>
      <c r="AC120" s="13"/>
      <c r="AD120" s="13"/>
      <c r="AE120" s="13"/>
      <c r="AF120" s="13"/>
    </row>
    <row r="121" spans="1:43" ht="15" customHeight="1">
      <c r="A121" s="412"/>
      <c r="B121" s="414" t="s">
        <v>104</v>
      </c>
      <c r="C121" s="34">
        <v>1</v>
      </c>
      <c r="D121" s="144"/>
      <c r="E121" s="145"/>
      <c r="F121" s="146"/>
      <c r="G121" s="81"/>
      <c r="H121" s="77"/>
      <c r="I121" s="77"/>
      <c r="J121" s="77"/>
      <c r="K121" s="77"/>
      <c r="L121" s="77"/>
      <c r="M121" s="77"/>
      <c r="N121" s="77"/>
      <c r="O121" s="77"/>
      <c r="P121" s="77"/>
      <c r="Q121" s="64"/>
      <c r="R121" s="64"/>
      <c r="S121" s="64"/>
      <c r="T121" s="64"/>
      <c r="U121" s="120"/>
      <c r="Y121" s="1"/>
      <c r="Z121" s="21" t="s">
        <v>43</v>
      </c>
      <c r="AA121" s="13"/>
      <c r="AB121" s="13"/>
      <c r="AC121" s="13"/>
      <c r="AD121" s="13"/>
      <c r="AE121" s="13"/>
      <c r="AF121" s="13"/>
    </row>
    <row r="122" spans="1:43" ht="15" customHeight="1">
      <c r="A122" s="412"/>
      <c r="B122" s="415"/>
      <c r="C122" s="34">
        <v>2</v>
      </c>
      <c r="D122" s="82"/>
      <c r="E122" s="83"/>
      <c r="F122" s="84"/>
      <c r="G122" s="81"/>
      <c r="H122" s="77"/>
      <c r="I122" s="77"/>
      <c r="J122" s="77"/>
      <c r="K122" s="77"/>
      <c r="L122" s="77"/>
      <c r="M122" s="77"/>
      <c r="N122" s="77"/>
      <c r="O122" s="77"/>
      <c r="P122" s="77"/>
      <c r="Q122" s="64"/>
      <c r="R122" s="64"/>
      <c r="S122" s="64"/>
      <c r="T122" s="64"/>
      <c r="U122" s="120"/>
      <c r="Y122" s="8"/>
      <c r="Z122" s="1"/>
      <c r="AA122" s="13" t="s">
        <v>18</v>
      </c>
      <c r="AB122" s="13" t="s">
        <v>18</v>
      </c>
      <c r="AC122" s="13" t="s">
        <v>18</v>
      </c>
      <c r="AD122" s="13" t="s">
        <v>18</v>
      </c>
      <c r="AE122" s="13" t="s">
        <v>18</v>
      </c>
      <c r="AF122" s="13" t="s">
        <v>18</v>
      </c>
    </row>
    <row r="123" spans="1:43" ht="15" customHeight="1">
      <c r="A123" s="412"/>
      <c r="B123" s="415"/>
      <c r="C123" s="34">
        <v>3</v>
      </c>
      <c r="D123" s="85"/>
      <c r="E123" s="86"/>
      <c r="F123" s="87"/>
      <c r="G123" s="81"/>
      <c r="H123" s="64"/>
      <c r="I123" s="64"/>
      <c r="J123" s="64"/>
      <c r="K123" s="64"/>
      <c r="L123" s="64"/>
      <c r="M123" s="64"/>
      <c r="N123" s="64"/>
      <c r="O123" s="64"/>
      <c r="P123" s="64"/>
      <c r="Q123" s="64"/>
      <c r="R123" s="64"/>
      <c r="S123" s="64"/>
      <c r="T123" s="64"/>
      <c r="U123" s="120"/>
      <c r="Y123" s="1"/>
      <c r="Z123" s="1"/>
      <c r="AA123" s="13"/>
      <c r="AB123" s="13"/>
      <c r="AC123" s="13"/>
      <c r="AD123" s="13"/>
      <c r="AE123" s="13"/>
      <c r="AF123" s="13"/>
    </row>
    <row r="124" spans="1:43" ht="15" customHeight="1">
      <c r="A124" s="412"/>
      <c r="B124" s="415"/>
      <c r="C124" s="34">
        <v>4</v>
      </c>
      <c r="D124" s="85"/>
      <c r="E124" s="86"/>
      <c r="F124" s="87"/>
      <c r="G124" s="81"/>
      <c r="H124" s="64"/>
      <c r="I124" s="64"/>
      <c r="J124" s="64"/>
      <c r="K124" s="64"/>
      <c r="L124" s="64"/>
      <c r="M124" s="64"/>
      <c r="N124" s="64"/>
      <c r="O124" s="64"/>
      <c r="P124" s="64"/>
      <c r="Q124" s="64"/>
      <c r="R124" s="64"/>
      <c r="S124" s="64"/>
      <c r="T124" s="64"/>
      <c r="U124" s="120"/>
      <c r="Y124" s="1"/>
      <c r="Z124" s="21" t="s">
        <v>4</v>
      </c>
      <c r="AA124" s="13"/>
      <c r="AB124" s="13"/>
      <c r="AC124" s="13"/>
      <c r="AD124" s="13"/>
      <c r="AE124" s="13"/>
      <c r="AF124" s="13"/>
    </row>
    <row r="125" spans="1:43" ht="15" customHeight="1">
      <c r="A125" s="412"/>
      <c r="B125" s="415"/>
      <c r="C125" s="34">
        <v>5</v>
      </c>
      <c r="D125" s="85"/>
      <c r="E125" s="86"/>
      <c r="F125" s="87"/>
      <c r="G125" s="81"/>
      <c r="H125" s="64"/>
      <c r="I125" s="64"/>
      <c r="J125" s="64"/>
      <c r="K125" s="64"/>
      <c r="L125" s="64"/>
      <c r="M125" s="64"/>
      <c r="N125" s="64"/>
      <c r="O125" s="64"/>
      <c r="P125" s="64"/>
      <c r="Q125" s="64"/>
      <c r="R125" s="64"/>
      <c r="S125" s="64"/>
      <c r="T125" s="64"/>
      <c r="U125" s="120"/>
      <c r="Y125" s="4" t="s">
        <v>5</v>
      </c>
      <c r="Z125" s="5" t="s">
        <v>22</v>
      </c>
      <c r="AA125" s="13">
        <v>50</v>
      </c>
      <c r="AB125" s="13">
        <v>50</v>
      </c>
      <c r="AC125" s="13">
        <v>50</v>
      </c>
      <c r="AD125" s="13">
        <v>50</v>
      </c>
      <c r="AE125" s="13">
        <v>50</v>
      </c>
      <c r="AF125" s="13">
        <v>50</v>
      </c>
    </row>
    <row r="126" spans="1:43" ht="15" customHeight="1" thickBot="1">
      <c r="A126" s="412"/>
      <c r="B126" s="416"/>
      <c r="C126" s="35">
        <v>6</v>
      </c>
      <c r="D126" s="88"/>
      <c r="E126" s="89"/>
      <c r="F126" s="90"/>
      <c r="G126" s="81"/>
      <c r="H126" s="64"/>
      <c r="I126" s="64"/>
      <c r="J126" s="64"/>
      <c r="K126" s="64"/>
      <c r="L126" s="64"/>
      <c r="M126" s="64"/>
      <c r="N126" s="64"/>
      <c r="O126" s="64"/>
      <c r="P126" s="64"/>
      <c r="Q126" s="64"/>
      <c r="R126" s="64"/>
      <c r="S126" s="64"/>
      <c r="T126" s="64"/>
      <c r="U126" s="120"/>
      <c r="Y126" s="1"/>
      <c r="Z126" s="21" t="s">
        <v>13</v>
      </c>
      <c r="AA126" s="13"/>
      <c r="AB126" s="13"/>
      <c r="AC126" s="13"/>
      <c r="AD126" s="13"/>
      <c r="AE126" s="13"/>
      <c r="AF126" s="13"/>
    </row>
    <row r="127" spans="1:43" ht="15" customHeight="1">
      <c r="A127" s="412"/>
      <c r="B127" s="402" t="s">
        <v>106</v>
      </c>
      <c r="C127" s="33">
        <v>1</v>
      </c>
      <c r="D127" s="91"/>
      <c r="E127" s="92"/>
      <c r="F127" s="93"/>
      <c r="G127" s="81"/>
      <c r="H127" s="64"/>
      <c r="I127" s="64"/>
      <c r="J127" s="64"/>
      <c r="K127" s="64"/>
      <c r="L127" s="64"/>
      <c r="M127" s="64"/>
      <c r="N127" s="64"/>
      <c r="O127" s="64"/>
      <c r="P127" s="64"/>
      <c r="Q127" s="64"/>
      <c r="R127" s="64"/>
      <c r="S127" s="64"/>
      <c r="T127" s="64"/>
      <c r="U127" s="120"/>
      <c r="Y127" s="4" t="s">
        <v>5</v>
      </c>
      <c r="Z127" s="5" t="s">
        <v>40</v>
      </c>
      <c r="AA127" s="13">
        <v>50</v>
      </c>
      <c r="AB127" s="13">
        <v>50</v>
      </c>
      <c r="AC127" s="13">
        <v>50</v>
      </c>
      <c r="AD127" s="13">
        <v>50</v>
      </c>
      <c r="AE127" s="13">
        <v>50</v>
      </c>
      <c r="AF127" s="13">
        <v>50</v>
      </c>
    </row>
    <row r="128" spans="1:43" ht="15" customHeight="1">
      <c r="A128" s="412"/>
      <c r="B128" s="403"/>
      <c r="C128" s="34">
        <v>2</v>
      </c>
      <c r="D128" s="85"/>
      <c r="E128" s="86"/>
      <c r="F128" s="87"/>
      <c r="G128" s="81"/>
      <c r="H128" s="64"/>
      <c r="I128" s="64"/>
      <c r="J128" s="64"/>
      <c r="K128" s="64"/>
      <c r="L128" s="64"/>
      <c r="M128" s="64"/>
      <c r="N128" s="64"/>
      <c r="O128" s="64"/>
      <c r="P128" s="64"/>
      <c r="Q128" s="64"/>
      <c r="R128" s="64"/>
      <c r="S128" s="64"/>
      <c r="T128" s="64"/>
      <c r="U128" s="120"/>
      <c r="Y128" s="49" t="s">
        <v>112</v>
      </c>
      <c r="Z128" s="5"/>
      <c r="AA128" s="13">
        <f>SUM(AA125,AA127)</f>
        <v>100</v>
      </c>
      <c r="AB128" s="13">
        <f t="shared" ref="AB128:AF128" si="26">SUM(AB125,AB127)</f>
        <v>100</v>
      </c>
      <c r="AC128" s="13">
        <f t="shared" si="26"/>
        <v>100</v>
      </c>
      <c r="AD128" s="13">
        <f t="shared" si="26"/>
        <v>100</v>
      </c>
      <c r="AE128" s="13">
        <f t="shared" si="26"/>
        <v>100</v>
      </c>
      <c r="AF128" s="13">
        <f t="shared" si="26"/>
        <v>100</v>
      </c>
      <c r="AJ128" s="1"/>
      <c r="AK128" s="1"/>
      <c r="AL128" s="13"/>
      <c r="AM128" s="13"/>
      <c r="AN128" s="13"/>
      <c r="AO128" s="13"/>
      <c r="AP128" s="13"/>
      <c r="AQ128" s="13"/>
    </row>
    <row r="129" spans="1:32" ht="15" customHeight="1">
      <c r="A129" s="412"/>
      <c r="B129" s="403"/>
      <c r="C129" s="34">
        <v>3</v>
      </c>
      <c r="D129" s="85"/>
      <c r="E129" s="86"/>
      <c r="F129" s="87"/>
      <c r="G129" s="81"/>
      <c r="H129" s="64"/>
      <c r="I129" s="64"/>
      <c r="J129" s="64"/>
      <c r="K129" s="64"/>
      <c r="L129" s="64"/>
      <c r="M129" s="64"/>
      <c r="N129" s="64"/>
      <c r="O129" s="64"/>
      <c r="P129" s="64"/>
      <c r="Q129" s="64"/>
      <c r="R129" s="64"/>
      <c r="S129" s="64"/>
      <c r="T129" s="64"/>
      <c r="U129" s="120"/>
      <c r="Y129" s="49" t="s">
        <v>113</v>
      </c>
      <c r="Z129" s="5"/>
      <c r="AA129" s="13">
        <v>0</v>
      </c>
      <c r="AB129" s="13">
        <v>0</v>
      </c>
      <c r="AC129" s="13">
        <v>0</v>
      </c>
      <c r="AD129" s="13">
        <v>0</v>
      </c>
      <c r="AE129" s="13">
        <v>0</v>
      </c>
      <c r="AF129" s="13">
        <v>0</v>
      </c>
    </row>
    <row r="130" spans="1:32" ht="15" customHeight="1">
      <c r="A130" s="412"/>
      <c r="B130" s="403"/>
      <c r="C130" s="34">
        <v>4</v>
      </c>
      <c r="D130" s="85"/>
      <c r="E130" s="86"/>
      <c r="F130" s="87"/>
      <c r="G130" s="81"/>
      <c r="H130" s="64"/>
      <c r="I130" s="64"/>
      <c r="J130" s="64"/>
      <c r="K130" s="64"/>
      <c r="L130" s="64"/>
      <c r="M130" s="64"/>
      <c r="N130" s="64"/>
      <c r="O130" s="64"/>
      <c r="P130" s="64"/>
      <c r="Q130" s="64"/>
      <c r="R130" s="64"/>
      <c r="S130" s="64"/>
      <c r="T130" s="64"/>
      <c r="U130" s="120"/>
      <c r="Y130" s="49" t="s">
        <v>114</v>
      </c>
      <c r="Z130" s="5"/>
      <c r="AA130" s="13">
        <v>0</v>
      </c>
      <c r="AB130" s="13">
        <v>0</v>
      </c>
      <c r="AC130" s="13">
        <v>0</v>
      </c>
      <c r="AD130" s="13">
        <v>0</v>
      </c>
      <c r="AE130" s="13">
        <v>0</v>
      </c>
      <c r="AF130" s="13">
        <v>0</v>
      </c>
    </row>
    <row r="131" spans="1:32" ht="15" customHeight="1">
      <c r="A131" s="412"/>
      <c r="B131" s="403"/>
      <c r="C131" s="34">
        <v>5</v>
      </c>
      <c r="D131" s="85"/>
      <c r="E131" s="86"/>
      <c r="F131" s="87"/>
      <c r="G131" s="81"/>
      <c r="H131" s="64"/>
      <c r="I131" s="64"/>
      <c r="J131" s="64"/>
      <c r="K131" s="64"/>
      <c r="L131" s="64"/>
      <c r="M131" s="64"/>
      <c r="N131" s="64"/>
      <c r="O131" s="64"/>
      <c r="P131" s="64"/>
      <c r="Q131" s="64"/>
      <c r="R131" s="64"/>
      <c r="S131" s="64"/>
      <c r="T131" s="64"/>
      <c r="U131" s="120"/>
    </row>
    <row r="132" spans="1:32" ht="15" customHeight="1" thickBot="1">
      <c r="A132" s="412"/>
      <c r="B132" s="404"/>
      <c r="C132" s="35">
        <v>6</v>
      </c>
      <c r="D132" s="88"/>
      <c r="E132" s="89"/>
      <c r="F132" s="90"/>
      <c r="G132" s="81"/>
      <c r="H132" s="64"/>
      <c r="I132" s="64"/>
      <c r="J132" s="64"/>
      <c r="K132" s="65"/>
      <c r="L132" s="65"/>
      <c r="M132" s="65"/>
      <c r="N132" s="65"/>
      <c r="O132" s="64"/>
      <c r="P132" s="64"/>
      <c r="Q132" s="64"/>
      <c r="R132" s="65"/>
      <c r="S132" s="65"/>
      <c r="T132" s="65"/>
      <c r="U132" s="122"/>
    </row>
    <row r="133" spans="1:32" ht="15" customHeight="1">
      <c r="A133" s="412"/>
      <c r="B133" s="402" t="s">
        <v>103</v>
      </c>
      <c r="C133" s="33">
        <v>1</v>
      </c>
      <c r="D133" s="91"/>
      <c r="E133" s="64"/>
      <c r="F133" s="124"/>
      <c r="G133" s="81"/>
      <c r="H133" s="64"/>
      <c r="I133" s="64"/>
      <c r="J133" s="64"/>
      <c r="K133" s="125"/>
      <c r="L133" s="128"/>
      <c r="M133" s="126"/>
      <c r="N133" s="127"/>
      <c r="O133" s="72"/>
      <c r="P133" s="64"/>
      <c r="Q133" s="120"/>
      <c r="R133" s="128"/>
      <c r="S133" s="126"/>
      <c r="T133" s="178"/>
      <c r="U133" s="127"/>
    </row>
    <row r="134" spans="1:32" ht="15" customHeight="1">
      <c r="A134" s="412"/>
      <c r="B134" s="403"/>
      <c r="C134" s="34">
        <v>2</v>
      </c>
      <c r="D134" s="85"/>
      <c r="E134" s="64"/>
      <c r="F134" s="129"/>
      <c r="G134" s="81"/>
      <c r="H134" s="64"/>
      <c r="I134" s="64"/>
      <c r="J134" s="64"/>
      <c r="K134" s="129"/>
      <c r="L134" s="85"/>
      <c r="M134" s="86"/>
      <c r="N134" s="87"/>
      <c r="O134" s="72"/>
      <c r="P134" s="64"/>
      <c r="Q134" s="120"/>
      <c r="R134" s="85"/>
      <c r="S134" s="86"/>
      <c r="T134" s="165"/>
      <c r="U134" s="87"/>
    </row>
    <row r="135" spans="1:32" ht="15" customHeight="1">
      <c r="A135" s="412"/>
      <c r="B135" s="403"/>
      <c r="C135" s="34">
        <v>3</v>
      </c>
      <c r="D135" s="85"/>
      <c r="E135" s="64"/>
      <c r="F135" s="129"/>
      <c r="G135" s="81"/>
      <c r="H135" s="64"/>
      <c r="I135" s="64"/>
      <c r="J135" s="64"/>
      <c r="K135" s="129"/>
      <c r="L135" s="85"/>
      <c r="M135" s="86"/>
      <c r="N135" s="87"/>
      <c r="O135" s="72"/>
      <c r="P135" s="64"/>
      <c r="Q135" s="120"/>
      <c r="R135" s="85"/>
      <c r="S135" s="86"/>
      <c r="T135" s="165"/>
      <c r="U135" s="87"/>
    </row>
    <row r="136" spans="1:32" ht="15" customHeight="1">
      <c r="A136" s="412"/>
      <c r="B136" s="403"/>
      <c r="C136" s="34">
        <v>4</v>
      </c>
      <c r="D136" s="85"/>
      <c r="E136" s="64"/>
      <c r="F136" s="129"/>
      <c r="G136" s="81"/>
      <c r="H136" s="64"/>
      <c r="I136" s="64"/>
      <c r="J136" s="64"/>
      <c r="K136" s="129"/>
      <c r="L136" s="85"/>
      <c r="M136" s="86"/>
      <c r="N136" s="87"/>
      <c r="O136" s="72"/>
      <c r="P136" s="64"/>
      <c r="Q136" s="120"/>
      <c r="R136" s="85"/>
      <c r="S136" s="86"/>
      <c r="T136" s="165"/>
      <c r="U136" s="87"/>
    </row>
    <row r="137" spans="1:32" ht="15" customHeight="1">
      <c r="A137" s="412"/>
      <c r="B137" s="403"/>
      <c r="C137" s="34">
        <v>5</v>
      </c>
      <c r="D137" s="85"/>
      <c r="E137" s="64"/>
      <c r="F137" s="129"/>
      <c r="G137" s="81"/>
      <c r="H137" s="64"/>
      <c r="I137" s="64"/>
      <c r="J137" s="64"/>
      <c r="K137" s="129"/>
      <c r="L137" s="85"/>
      <c r="M137" s="86"/>
      <c r="N137" s="87"/>
      <c r="O137" s="72"/>
      <c r="P137" s="64"/>
      <c r="Q137" s="120"/>
      <c r="R137" s="85"/>
      <c r="S137" s="86"/>
      <c r="T137" s="165"/>
      <c r="U137" s="87"/>
    </row>
    <row r="138" spans="1:32" ht="15" customHeight="1" thickBot="1">
      <c r="A138" s="412"/>
      <c r="B138" s="404"/>
      <c r="C138" s="35">
        <v>6</v>
      </c>
      <c r="D138" s="88"/>
      <c r="E138" s="64"/>
      <c r="F138" s="130"/>
      <c r="G138" s="81"/>
      <c r="H138" s="64"/>
      <c r="I138" s="64"/>
      <c r="J138" s="64"/>
      <c r="K138" s="130"/>
      <c r="L138" s="88"/>
      <c r="M138" s="89"/>
      <c r="N138" s="90"/>
      <c r="O138" s="72"/>
      <c r="P138" s="64"/>
      <c r="Q138" s="120"/>
      <c r="R138" s="88"/>
      <c r="S138" s="89"/>
      <c r="T138" s="166"/>
      <c r="U138" s="90"/>
    </row>
    <row r="139" spans="1:32" ht="15" customHeight="1">
      <c r="A139" s="412"/>
      <c r="B139" s="402" t="s">
        <v>102</v>
      </c>
      <c r="C139" s="33">
        <v>1</v>
      </c>
      <c r="D139" s="91"/>
      <c r="E139" s="64"/>
      <c r="F139" s="125"/>
      <c r="G139" s="81"/>
      <c r="H139" s="64"/>
      <c r="I139" s="64"/>
      <c r="J139" s="64"/>
      <c r="K139" s="124"/>
      <c r="L139" s="91"/>
      <c r="M139" s="92"/>
      <c r="N139" s="93"/>
      <c r="O139" s="72"/>
      <c r="P139" s="64"/>
      <c r="Q139" s="120"/>
      <c r="R139" s="91"/>
      <c r="S139" s="92"/>
      <c r="T139" s="164"/>
      <c r="U139" s="93"/>
    </row>
    <row r="140" spans="1:32" ht="15" customHeight="1">
      <c r="A140" s="412"/>
      <c r="B140" s="403"/>
      <c r="C140" s="34">
        <v>2</v>
      </c>
      <c r="D140" s="85"/>
      <c r="E140" s="64"/>
      <c r="F140" s="129"/>
      <c r="G140" s="81"/>
      <c r="H140" s="64"/>
      <c r="I140" s="64"/>
      <c r="J140" s="64"/>
      <c r="K140" s="129"/>
      <c r="L140" s="85"/>
      <c r="M140" s="86"/>
      <c r="N140" s="87"/>
      <c r="O140" s="72"/>
      <c r="P140" s="64"/>
      <c r="Q140" s="120"/>
      <c r="R140" s="85"/>
      <c r="S140" s="86"/>
      <c r="T140" s="165"/>
      <c r="U140" s="87"/>
    </row>
    <row r="141" spans="1:32" ht="15" customHeight="1">
      <c r="A141" s="412"/>
      <c r="B141" s="403"/>
      <c r="C141" s="34">
        <v>3</v>
      </c>
      <c r="D141" s="85"/>
      <c r="E141" s="64"/>
      <c r="F141" s="129"/>
      <c r="G141" s="81"/>
      <c r="H141" s="64"/>
      <c r="I141" s="64"/>
      <c r="J141" s="64"/>
      <c r="K141" s="129"/>
      <c r="L141" s="85"/>
      <c r="M141" s="86"/>
      <c r="N141" s="87"/>
      <c r="O141" s="72"/>
      <c r="P141" s="64"/>
      <c r="Q141" s="120"/>
      <c r="R141" s="85"/>
      <c r="S141" s="86"/>
      <c r="T141" s="165"/>
      <c r="U141" s="87"/>
    </row>
    <row r="142" spans="1:32" ht="15" customHeight="1">
      <c r="A142" s="412"/>
      <c r="B142" s="403"/>
      <c r="C142" s="34">
        <v>4</v>
      </c>
      <c r="D142" s="85"/>
      <c r="E142" s="64"/>
      <c r="F142" s="129"/>
      <c r="G142" s="81"/>
      <c r="H142" s="64"/>
      <c r="I142" s="64"/>
      <c r="J142" s="64"/>
      <c r="K142" s="129"/>
      <c r="L142" s="85"/>
      <c r="M142" s="86"/>
      <c r="N142" s="87"/>
      <c r="O142" s="72"/>
      <c r="P142" s="64"/>
      <c r="Q142" s="120"/>
      <c r="R142" s="85"/>
      <c r="S142" s="86"/>
      <c r="T142" s="165"/>
      <c r="U142" s="87"/>
    </row>
    <row r="143" spans="1:32" ht="15" customHeight="1">
      <c r="A143" s="412"/>
      <c r="B143" s="403"/>
      <c r="C143" s="34">
        <v>5</v>
      </c>
      <c r="D143" s="85"/>
      <c r="E143" s="64"/>
      <c r="F143" s="129"/>
      <c r="G143" s="81"/>
      <c r="H143" s="64"/>
      <c r="I143" s="64"/>
      <c r="J143" s="64"/>
      <c r="K143" s="129"/>
      <c r="L143" s="85"/>
      <c r="M143" s="86"/>
      <c r="N143" s="87"/>
      <c r="O143" s="72"/>
      <c r="P143" s="64"/>
      <c r="Q143" s="120"/>
      <c r="R143" s="85"/>
      <c r="S143" s="86"/>
      <c r="T143" s="165"/>
      <c r="U143" s="87"/>
    </row>
    <row r="144" spans="1:32" ht="15" customHeight="1" thickBot="1">
      <c r="A144" s="412"/>
      <c r="B144" s="404"/>
      <c r="C144" s="35">
        <v>6</v>
      </c>
      <c r="D144" s="88"/>
      <c r="E144" s="64"/>
      <c r="F144" s="130"/>
      <c r="G144" s="81"/>
      <c r="H144" s="64"/>
      <c r="I144" s="64"/>
      <c r="J144" s="64"/>
      <c r="K144" s="130"/>
      <c r="L144" s="88"/>
      <c r="M144" s="89"/>
      <c r="N144" s="90"/>
      <c r="O144" s="72"/>
      <c r="P144" s="64"/>
      <c r="Q144" s="120"/>
      <c r="R144" s="88"/>
      <c r="S144" s="89"/>
      <c r="T144" s="166"/>
      <c r="U144" s="90"/>
    </row>
    <row r="145" spans="1:32" ht="15" customHeight="1">
      <c r="A145" s="412"/>
      <c r="B145" s="402" t="s">
        <v>101</v>
      </c>
      <c r="C145" s="33">
        <v>1</v>
      </c>
      <c r="D145" s="91"/>
      <c r="E145" s="64"/>
      <c r="F145" s="125"/>
      <c r="G145" s="81"/>
      <c r="H145" s="64"/>
      <c r="I145" s="64"/>
      <c r="J145" s="64"/>
      <c r="K145" s="124"/>
      <c r="L145" s="91"/>
      <c r="M145" s="92"/>
      <c r="N145" s="93"/>
      <c r="O145" s="72"/>
      <c r="P145" s="64"/>
      <c r="Q145" s="120"/>
      <c r="R145" s="91"/>
      <c r="S145" s="92"/>
      <c r="T145" s="164"/>
      <c r="U145" s="93"/>
    </row>
    <row r="146" spans="1:32" ht="15" customHeight="1">
      <c r="A146" s="412"/>
      <c r="B146" s="403"/>
      <c r="C146" s="34">
        <v>2</v>
      </c>
      <c r="D146" s="85"/>
      <c r="E146" s="64"/>
      <c r="F146" s="129"/>
      <c r="G146" s="81"/>
      <c r="H146" s="64"/>
      <c r="I146" s="64"/>
      <c r="J146" s="64"/>
      <c r="K146" s="129"/>
      <c r="L146" s="85"/>
      <c r="M146" s="86"/>
      <c r="N146" s="87"/>
      <c r="O146" s="72"/>
      <c r="P146" s="64"/>
      <c r="Q146" s="120"/>
      <c r="R146" s="85"/>
      <c r="S146" s="86"/>
      <c r="T146" s="165"/>
      <c r="U146" s="87"/>
    </row>
    <row r="147" spans="1:32" ht="15" customHeight="1">
      <c r="A147" s="412"/>
      <c r="B147" s="403"/>
      <c r="C147" s="34">
        <v>3</v>
      </c>
      <c r="D147" s="85"/>
      <c r="E147" s="64"/>
      <c r="F147" s="129"/>
      <c r="G147" s="81"/>
      <c r="H147" s="64"/>
      <c r="I147" s="64"/>
      <c r="J147" s="64"/>
      <c r="K147" s="129"/>
      <c r="L147" s="85"/>
      <c r="M147" s="86"/>
      <c r="N147" s="87"/>
      <c r="O147" s="72"/>
      <c r="P147" s="64"/>
      <c r="Q147" s="120"/>
      <c r="R147" s="85"/>
      <c r="S147" s="86"/>
      <c r="T147" s="165"/>
      <c r="U147" s="87"/>
    </row>
    <row r="148" spans="1:32" ht="15" customHeight="1">
      <c r="A148" s="412"/>
      <c r="B148" s="403"/>
      <c r="C148" s="34">
        <v>4</v>
      </c>
      <c r="D148" s="85"/>
      <c r="E148" s="64"/>
      <c r="F148" s="129"/>
      <c r="G148" s="81"/>
      <c r="H148" s="64"/>
      <c r="I148" s="64"/>
      <c r="J148" s="64"/>
      <c r="K148" s="129"/>
      <c r="L148" s="85"/>
      <c r="M148" s="86"/>
      <c r="N148" s="87"/>
      <c r="O148" s="72"/>
      <c r="P148" s="64"/>
      <c r="Q148" s="120"/>
      <c r="R148" s="85"/>
      <c r="S148" s="86"/>
      <c r="T148" s="165"/>
      <c r="U148" s="87"/>
    </row>
    <row r="149" spans="1:32" ht="15" customHeight="1">
      <c r="A149" s="412"/>
      <c r="B149" s="403"/>
      <c r="C149" s="34">
        <v>5</v>
      </c>
      <c r="D149" s="85"/>
      <c r="E149" s="64"/>
      <c r="F149" s="129"/>
      <c r="G149" s="81"/>
      <c r="H149" s="64"/>
      <c r="I149" s="64"/>
      <c r="J149" s="64"/>
      <c r="K149" s="129"/>
      <c r="L149" s="85"/>
      <c r="M149" s="86"/>
      <c r="N149" s="87"/>
      <c r="O149" s="72"/>
      <c r="P149" s="64"/>
      <c r="Q149" s="120"/>
      <c r="R149" s="85"/>
      <c r="S149" s="86"/>
      <c r="T149" s="165"/>
      <c r="U149" s="87"/>
    </row>
    <row r="150" spans="1:32" ht="15" customHeight="1" thickBot="1">
      <c r="A150" s="413"/>
      <c r="B150" s="404"/>
      <c r="C150" s="35">
        <v>6</v>
      </c>
      <c r="D150" s="88"/>
      <c r="E150" s="131"/>
      <c r="F150" s="130"/>
      <c r="G150" s="94"/>
      <c r="H150" s="65"/>
      <c r="I150" s="64"/>
      <c r="J150" s="64"/>
      <c r="K150" s="130"/>
      <c r="L150" s="88"/>
      <c r="M150" s="89"/>
      <c r="N150" s="90"/>
      <c r="O150" s="73"/>
      <c r="P150" s="65"/>
      <c r="Q150" s="122"/>
      <c r="R150" s="88"/>
      <c r="S150" s="89"/>
      <c r="T150" s="166"/>
      <c r="U150" s="90"/>
    </row>
    <row r="151" spans="1:32" ht="15" customHeight="1" thickBot="1">
      <c r="A151" s="37"/>
      <c r="B151" s="38"/>
      <c r="C151" s="39"/>
      <c r="D151" s="141"/>
      <c r="E151" s="141"/>
      <c r="F151" s="141"/>
      <c r="G151" s="141"/>
      <c r="H151" s="142"/>
      <c r="I151" s="142"/>
      <c r="J151" s="142"/>
      <c r="K151" s="142"/>
      <c r="L151" s="142"/>
      <c r="M151" s="142"/>
      <c r="N151" s="142"/>
      <c r="O151" s="142"/>
      <c r="P151" s="142"/>
      <c r="Q151" s="142"/>
      <c r="R151" s="142"/>
      <c r="S151" s="142"/>
      <c r="T151" s="142"/>
      <c r="U151" s="143"/>
      <c r="Y151" s="401" t="s">
        <v>44</v>
      </c>
      <c r="Z151" s="401"/>
      <c r="AA151" s="13"/>
      <c r="AB151" s="13"/>
      <c r="AC151" s="13"/>
      <c r="AD151" s="13"/>
      <c r="AE151" s="13"/>
      <c r="AF151" s="13"/>
    </row>
    <row r="152" spans="1:32" ht="15" customHeight="1">
      <c r="A152" s="412" t="s">
        <v>99</v>
      </c>
      <c r="B152" s="402" t="s">
        <v>105</v>
      </c>
      <c r="C152" s="33">
        <v>1</v>
      </c>
      <c r="D152" s="116"/>
      <c r="E152" s="117"/>
      <c r="F152" s="117"/>
      <c r="G152" s="117"/>
      <c r="H152" s="117"/>
      <c r="I152" s="117"/>
      <c r="J152" s="117"/>
      <c r="K152" s="117"/>
      <c r="L152" s="117"/>
      <c r="M152" s="117"/>
      <c r="N152" s="117"/>
      <c r="O152" s="117"/>
      <c r="P152" s="118"/>
      <c r="Q152" s="118"/>
      <c r="R152" s="118"/>
      <c r="S152" s="118"/>
      <c r="T152" s="118"/>
      <c r="U152" s="119"/>
      <c r="Y152" s="1"/>
      <c r="Z152" s="3" t="s">
        <v>77</v>
      </c>
      <c r="AA152" s="13">
        <v>19800</v>
      </c>
      <c r="AB152" s="13">
        <v>19800</v>
      </c>
      <c r="AC152" s="13">
        <v>19000</v>
      </c>
      <c r="AD152" s="13">
        <v>19200</v>
      </c>
      <c r="AE152" s="13">
        <v>18800</v>
      </c>
      <c r="AF152" s="13">
        <v>17800</v>
      </c>
    </row>
    <row r="153" spans="1:32" ht="15" customHeight="1">
      <c r="A153" s="412"/>
      <c r="B153" s="403"/>
      <c r="C153" s="34">
        <v>2</v>
      </c>
      <c r="D153" s="81"/>
      <c r="E153" s="77"/>
      <c r="F153" s="77"/>
      <c r="G153" s="77"/>
      <c r="H153" s="77"/>
      <c r="I153" s="77"/>
      <c r="J153" s="77"/>
      <c r="K153" s="77"/>
      <c r="L153" s="77"/>
      <c r="M153" s="77"/>
      <c r="N153" s="77"/>
      <c r="O153" s="77"/>
      <c r="P153" s="64"/>
      <c r="Q153" s="64"/>
      <c r="R153" s="64"/>
      <c r="S153" s="64"/>
      <c r="T153" s="64"/>
      <c r="U153" s="120"/>
      <c r="Y153" s="1"/>
      <c r="Z153" s="3" t="s">
        <v>79</v>
      </c>
      <c r="AA153" s="18">
        <f>AA152/365</f>
        <v>54.246575342465754</v>
      </c>
      <c r="AB153" s="18">
        <f t="shared" ref="AB153:AF153" si="27">AB152/365</f>
        <v>54.246575342465754</v>
      </c>
      <c r="AC153" s="18">
        <f t="shared" si="27"/>
        <v>52.054794520547944</v>
      </c>
      <c r="AD153" s="18">
        <f t="shared" si="27"/>
        <v>52.602739726027394</v>
      </c>
      <c r="AE153" s="18">
        <f t="shared" si="27"/>
        <v>51.506849315068493</v>
      </c>
      <c r="AF153" s="18">
        <f t="shared" si="27"/>
        <v>48.767123287671232</v>
      </c>
    </row>
    <row r="154" spans="1:32" ht="15" customHeight="1">
      <c r="A154" s="412"/>
      <c r="B154" s="403"/>
      <c r="C154" s="34">
        <v>3</v>
      </c>
      <c r="D154" s="81"/>
      <c r="E154" s="77"/>
      <c r="F154" s="77"/>
      <c r="G154" s="77"/>
      <c r="H154" s="77"/>
      <c r="I154" s="77"/>
      <c r="J154" s="77"/>
      <c r="K154" s="77"/>
      <c r="L154" s="77"/>
      <c r="M154" s="77"/>
      <c r="N154" s="77"/>
      <c r="O154" s="77"/>
      <c r="P154" s="77"/>
      <c r="Q154" s="64"/>
      <c r="R154" s="64"/>
      <c r="S154" s="64"/>
      <c r="T154" s="64"/>
      <c r="U154" s="120"/>
      <c r="Y154" s="1"/>
      <c r="Z154" s="2" t="s">
        <v>80</v>
      </c>
      <c r="AA154" s="13">
        <v>5150</v>
      </c>
      <c r="AB154" s="13">
        <v>5050</v>
      </c>
      <c r="AC154" s="13">
        <v>4900</v>
      </c>
      <c r="AD154" s="13">
        <v>4900</v>
      </c>
      <c r="AE154" s="13">
        <v>4850</v>
      </c>
      <c r="AF154" s="13">
        <v>4850</v>
      </c>
    </row>
    <row r="155" spans="1:32" ht="15" customHeight="1">
      <c r="A155" s="412"/>
      <c r="B155" s="403"/>
      <c r="C155" s="34">
        <v>4</v>
      </c>
      <c r="D155" s="81"/>
      <c r="E155" s="77"/>
      <c r="F155" s="77"/>
      <c r="G155" s="77"/>
      <c r="H155" s="77"/>
      <c r="I155" s="77"/>
      <c r="J155" s="77"/>
      <c r="K155" s="77"/>
      <c r="L155" s="77"/>
      <c r="M155" s="77"/>
      <c r="N155" s="77"/>
      <c r="O155" s="77"/>
      <c r="P155" s="77"/>
      <c r="Q155" s="64"/>
      <c r="R155" s="64"/>
      <c r="S155" s="64"/>
      <c r="T155" s="64"/>
      <c r="U155" s="120"/>
      <c r="Y155" s="1"/>
      <c r="Z155" s="2" t="s">
        <v>2</v>
      </c>
      <c r="AA155" s="13">
        <v>3200</v>
      </c>
      <c r="AB155" s="13">
        <v>3150</v>
      </c>
      <c r="AC155" s="13">
        <v>3050</v>
      </c>
      <c r="AD155" s="13">
        <v>3000</v>
      </c>
      <c r="AE155" s="13">
        <v>3000</v>
      </c>
      <c r="AF155" s="13">
        <v>3000</v>
      </c>
    </row>
    <row r="156" spans="1:32" ht="15" customHeight="1">
      <c r="A156" s="412"/>
      <c r="B156" s="403"/>
      <c r="C156" s="34">
        <v>5</v>
      </c>
      <c r="D156" s="81"/>
      <c r="E156" s="77"/>
      <c r="F156" s="77"/>
      <c r="G156" s="77"/>
      <c r="H156" s="77"/>
      <c r="I156" s="77"/>
      <c r="J156" s="77"/>
      <c r="K156" s="77"/>
      <c r="L156" s="77"/>
      <c r="M156" s="77"/>
      <c r="N156" s="77"/>
      <c r="O156" s="77"/>
      <c r="P156" s="77"/>
      <c r="Q156" s="64"/>
      <c r="R156" s="64"/>
      <c r="S156" s="64"/>
      <c r="T156" s="64"/>
      <c r="U156" s="120"/>
      <c r="Y156" s="1"/>
      <c r="Z156" s="2" t="s">
        <v>3</v>
      </c>
      <c r="AA156" s="13">
        <v>1650</v>
      </c>
      <c r="AB156" s="13">
        <v>1600</v>
      </c>
      <c r="AC156" s="13">
        <v>1550</v>
      </c>
      <c r="AD156" s="13">
        <v>1550</v>
      </c>
      <c r="AE156" s="13">
        <v>1550</v>
      </c>
      <c r="AF156" s="13">
        <v>1550</v>
      </c>
    </row>
    <row r="157" spans="1:32" ht="15" customHeight="1" thickBot="1">
      <c r="A157" s="412"/>
      <c r="B157" s="404"/>
      <c r="C157" s="35">
        <v>6</v>
      </c>
      <c r="D157" s="81"/>
      <c r="E157" s="77"/>
      <c r="F157" s="77"/>
      <c r="G157" s="77"/>
      <c r="H157" s="77"/>
      <c r="I157" s="77"/>
      <c r="J157" s="77"/>
      <c r="K157" s="77"/>
      <c r="L157" s="77"/>
      <c r="M157" s="77"/>
      <c r="N157" s="77"/>
      <c r="O157" s="77"/>
      <c r="P157" s="77"/>
      <c r="Q157" s="64"/>
      <c r="R157" s="64"/>
      <c r="S157" s="64"/>
      <c r="T157" s="64"/>
      <c r="U157" s="120"/>
      <c r="Y157" s="1"/>
      <c r="Z157" s="2" t="s">
        <v>0</v>
      </c>
      <c r="AA157" s="1">
        <v>230000</v>
      </c>
      <c r="AB157" s="1">
        <v>230000</v>
      </c>
      <c r="AC157" s="1">
        <v>230000</v>
      </c>
      <c r="AD157" s="1">
        <v>230000</v>
      </c>
      <c r="AE157" s="1">
        <v>230000</v>
      </c>
      <c r="AF157" s="1">
        <v>230000</v>
      </c>
    </row>
    <row r="158" spans="1:32" ht="15" customHeight="1">
      <c r="A158" s="412"/>
      <c r="B158" s="402" t="s">
        <v>110</v>
      </c>
      <c r="C158" s="33">
        <v>1</v>
      </c>
      <c r="D158" s="81"/>
      <c r="E158" s="77"/>
      <c r="F158" s="77"/>
      <c r="G158" s="77"/>
      <c r="H158" s="77"/>
      <c r="I158" s="77"/>
      <c r="J158" s="77"/>
      <c r="K158" s="77"/>
      <c r="L158" s="77"/>
      <c r="M158" s="77"/>
      <c r="N158" s="77"/>
      <c r="O158" s="77"/>
      <c r="P158" s="77"/>
      <c r="Q158" s="64"/>
      <c r="R158" s="64"/>
      <c r="S158" s="64"/>
      <c r="T158" s="64"/>
      <c r="U158" s="120"/>
      <c r="Y158" s="1"/>
      <c r="Z158" s="2" t="s">
        <v>83</v>
      </c>
      <c r="AA158" s="24">
        <f>AA157/365</f>
        <v>630.13698630136992</v>
      </c>
      <c r="AB158" s="24">
        <f t="shared" ref="AB158:AF158" si="28">AB157/365</f>
        <v>630.13698630136992</v>
      </c>
      <c r="AC158" s="24">
        <f t="shared" si="28"/>
        <v>630.13698630136992</v>
      </c>
      <c r="AD158" s="24">
        <f t="shared" si="28"/>
        <v>630.13698630136992</v>
      </c>
      <c r="AE158" s="24">
        <f t="shared" si="28"/>
        <v>630.13698630136992</v>
      </c>
      <c r="AF158" s="24">
        <f t="shared" si="28"/>
        <v>630.13698630136992</v>
      </c>
    </row>
    <row r="159" spans="1:32" ht="15" customHeight="1">
      <c r="A159" s="412"/>
      <c r="B159" s="403"/>
      <c r="C159" s="34">
        <v>2</v>
      </c>
      <c r="D159" s="81"/>
      <c r="E159" s="77"/>
      <c r="F159" s="77"/>
      <c r="G159" s="77"/>
      <c r="H159" s="77"/>
      <c r="I159" s="77"/>
      <c r="J159" s="77"/>
      <c r="K159" s="77"/>
      <c r="L159" s="77"/>
      <c r="M159" s="77"/>
      <c r="N159" s="77"/>
      <c r="O159" s="77"/>
      <c r="P159" s="77"/>
      <c r="Q159" s="64"/>
      <c r="R159" s="64"/>
      <c r="S159" s="64"/>
      <c r="T159" s="64"/>
      <c r="U159" s="120"/>
      <c r="Y159" s="1"/>
      <c r="Z159" s="2" t="s">
        <v>81</v>
      </c>
      <c r="AA159" s="13">
        <v>3100</v>
      </c>
      <c r="AB159" s="13">
        <v>3100</v>
      </c>
      <c r="AC159" s="13">
        <v>3100</v>
      </c>
      <c r="AD159" s="13">
        <v>3100</v>
      </c>
      <c r="AE159" s="13">
        <v>3100</v>
      </c>
      <c r="AF159" s="13">
        <v>3100</v>
      </c>
    </row>
    <row r="160" spans="1:32" ht="15" customHeight="1">
      <c r="A160" s="412"/>
      <c r="B160" s="403"/>
      <c r="C160" s="34">
        <v>3</v>
      </c>
      <c r="D160" s="81"/>
      <c r="E160" s="77"/>
      <c r="F160" s="77"/>
      <c r="G160" s="77"/>
      <c r="H160" s="77"/>
      <c r="I160" s="77"/>
      <c r="J160" s="77"/>
      <c r="K160" s="77"/>
      <c r="L160" s="77"/>
      <c r="M160" s="77"/>
      <c r="N160" s="77"/>
      <c r="O160" s="77"/>
      <c r="P160" s="77"/>
      <c r="Q160" s="64"/>
      <c r="R160" s="64"/>
      <c r="S160" s="64"/>
      <c r="T160" s="64"/>
      <c r="U160" s="120"/>
      <c r="Y160" s="1"/>
      <c r="Z160" s="2" t="s">
        <v>82</v>
      </c>
      <c r="AA160" s="1">
        <v>5650</v>
      </c>
      <c r="AB160" s="1">
        <v>5650</v>
      </c>
      <c r="AC160" s="1">
        <v>5650</v>
      </c>
      <c r="AD160" s="1">
        <v>5650</v>
      </c>
      <c r="AE160" s="1">
        <v>5650</v>
      </c>
      <c r="AF160" s="1">
        <v>5650</v>
      </c>
    </row>
    <row r="161" spans="1:41" ht="15" customHeight="1">
      <c r="A161" s="412"/>
      <c r="B161" s="403"/>
      <c r="C161" s="34">
        <v>4</v>
      </c>
      <c r="D161" s="81"/>
      <c r="E161" s="77"/>
      <c r="F161" s="77"/>
      <c r="G161" s="77"/>
      <c r="H161" s="77"/>
      <c r="I161" s="77"/>
      <c r="J161" s="77"/>
      <c r="K161" s="77"/>
      <c r="L161" s="77"/>
      <c r="M161" s="77"/>
      <c r="N161" s="77"/>
      <c r="O161" s="77"/>
      <c r="P161" s="77"/>
      <c r="Q161" s="64"/>
      <c r="R161" s="64"/>
      <c r="S161" s="64"/>
      <c r="T161" s="64"/>
      <c r="U161" s="120"/>
      <c r="Y161" s="1"/>
      <c r="Z161" s="2" t="s">
        <v>1</v>
      </c>
      <c r="AA161" s="13">
        <v>0</v>
      </c>
      <c r="AB161" s="13">
        <v>0</v>
      </c>
      <c r="AC161" s="13">
        <v>0</v>
      </c>
      <c r="AD161" s="13">
        <v>0</v>
      </c>
      <c r="AE161" s="13">
        <v>0</v>
      </c>
      <c r="AF161" s="13">
        <v>0</v>
      </c>
    </row>
    <row r="162" spans="1:41" ht="15" customHeight="1">
      <c r="A162" s="412"/>
      <c r="B162" s="403"/>
      <c r="C162" s="34">
        <v>5</v>
      </c>
      <c r="D162" s="81"/>
      <c r="E162" s="77"/>
      <c r="F162" s="77"/>
      <c r="G162" s="77"/>
      <c r="H162" s="77"/>
      <c r="I162" s="77"/>
      <c r="J162" s="77"/>
      <c r="K162" s="77"/>
      <c r="L162" s="77"/>
      <c r="M162" s="77"/>
      <c r="N162" s="77"/>
      <c r="O162" s="77"/>
      <c r="P162" s="77"/>
      <c r="Q162" s="64"/>
      <c r="R162" s="64"/>
      <c r="S162" s="64"/>
      <c r="T162" s="64"/>
      <c r="U162" s="120"/>
      <c r="Y162" s="1"/>
      <c r="Z162" s="2" t="s">
        <v>111</v>
      </c>
      <c r="AA162" s="13">
        <v>8</v>
      </c>
      <c r="AB162" s="13">
        <v>8</v>
      </c>
      <c r="AC162" s="13">
        <v>8</v>
      </c>
      <c r="AD162" s="13">
        <v>8</v>
      </c>
      <c r="AE162" s="13">
        <v>8</v>
      </c>
      <c r="AF162" s="13">
        <v>8</v>
      </c>
    </row>
    <row r="163" spans="1:41" ht="15" customHeight="1" thickBot="1">
      <c r="A163" s="412"/>
      <c r="B163" s="404"/>
      <c r="C163" s="35">
        <v>6</v>
      </c>
      <c r="D163" s="94"/>
      <c r="E163" s="121"/>
      <c r="F163" s="121"/>
      <c r="G163" s="77"/>
      <c r="H163" s="77"/>
      <c r="I163" s="77"/>
      <c r="J163" s="77"/>
      <c r="K163" s="77"/>
      <c r="L163" s="77"/>
      <c r="M163" s="77"/>
      <c r="N163" s="77"/>
      <c r="O163" s="77"/>
      <c r="P163" s="77"/>
      <c r="Q163" s="64"/>
      <c r="R163" s="64"/>
      <c r="S163" s="64"/>
      <c r="T163" s="64"/>
      <c r="U163" s="120"/>
      <c r="Y163" s="1"/>
      <c r="Z163" s="1"/>
      <c r="AA163" s="13"/>
      <c r="AB163" s="13"/>
      <c r="AC163" s="13"/>
      <c r="AD163" s="13"/>
      <c r="AE163" s="13"/>
      <c r="AF163" s="13"/>
    </row>
    <row r="164" spans="1:41" ht="15" customHeight="1">
      <c r="A164" s="412"/>
      <c r="B164" s="403" t="s">
        <v>104</v>
      </c>
      <c r="C164" s="34">
        <v>1</v>
      </c>
      <c r="D164" s="78"/>
      <c r="E164" s="79"/>
      <c r="F164" s="80"/>
      <c r="G164" s="81"/>
      <c r="H164" s="77"/>
      <c r="I164" s="77"/>
      <c r="J164" s="77"/>
      <c r="K164" s="77"/>
      <c r="L164" s="77"/>
      <c r="M164" s="77"/>
      <c r="N164" s="77"/>
      <c r="O164" s="77"/>
      <c r="P164" s="77"/>
      <c r="Q164" s="64"/>
      <c r="R164" s="64"/>
      <c r="S164" s="64"/>
      <c r="T164" s="64"/>
      <c r="U164" s="120"/>
      <c r="Y164" s="1"/>
      <c r="Z164" s="21" t="s">
        <v>43</v>
      </c>
      <c r="AA164" s="13"/>
      <c r="AB164" s="13"/>
      <c r="AC164" s="13"/>
      <c r="AD164" s="13"/>
      <c r="AE164" s="13"/>
      <c r="AF164" s="13"/>
    </row>
    <row r="165" spans="1:41" ht="15" customHeight="1">
      <c r="A165" s="412"/>
      <c r="B165" s="403"/>
      <c r="C165" s="34">
        <v>2</v>
      </c>
      <c r="D165" s="82"/>
      <c r="E165" s="83"/>
      <c r="F165" s="84"/>
      <c r="G165" s="81"/>
      <c r="H165" s="77"/>
      <c r="I165" s="77"/>
      <c r="J165" s="77"/>
      <c r="K165" s="77"/>
      <c r="L165" s="77"/>
      <c r="M165" s="77"/>
      <c r="N165" s="77"/>
      <c r="O165" s="77"/>
      <c r="P165" s="77"/>
      <c r="Q165" s="64"/>
      <c r="R165" s="64"/>
      <c r="S165" s="64"/>
      <c r="T165" s="64"/>
      <c r="U165" s="120"/>
      <c r="Y165" s="9" t="s">
        <v>6</v>
      </c>
      <c r="Z165" s="2" t="s">
        <v>10</v>
      </c>
      <c r="AA165" s="13">
        <v>800</v>
      </c>
      <c r="AB165" s="13">
        <v>800</v>
      </c>
      <c r="AC165" s="13">
        <v>800</v>
      </c>
      <c r="AD165" s="13">
        <v>800</v>
      </c>
      <c r="AE165" s="13">
        <v>800</v>
      </c>
      <c r="AF165" s="13">
        <v>800</v>
      </c>
    </row>
    <row r="166" spans="1:41" ht="15" customHeight="1">
      <c r="A166" s="412"/>
      <c r="B166" s="403"/>
      <c r="C166" s="34">
        <v>3</v>
      </c>
      <c r="D166" s="85"/>
      <c r="E166" s="86"/>
      <c r="F166" s="87"/>
      <c r="G166" s="81"/>
      <c r="H166" s="64"/>
      <c r="I166" s="64"/>
      <c r="J166" s="64"/>
      <c r="K166" s="64"/>
      <c r="L166" s="64"/>
      <c r="M166" s="64"/>
      <c r="N166" s="64"/>
      <c r="O166" s="64"/>
      <c r="P166" s="64"/>
      <c r="Q166" s="64"/>
      <c r="R166" s="64"/>
      <c r="S166" s="64"/>
      <c r="T166" s="64"/>
      <c r="U166" s="120"/>
      <c r="Y166" s="1"/>
      <c r="Z166" s="21" t="s">
        <v>4</v>
      </c>
      <c r="AA166" s="13"/>
      <c r="AB166" s="13"/>
      <c r="AC166" s="13"/>
      <c r="AD166" s="13"/>
      <c r="AE166" s="13"/>
      <c r="AF166" s="13"/>
    </row>
    <row r="167" spans="1:41" ht="15" customHeight="1">
      <c r="A167" s="412"/>
      <c r="B167" s="403"/>
      <c r="C167" s="34">
        <v>4</v>
      </c>
      <c r="D167" s="85"/>
      <c r="E167" s="86"/>
      <c r="F167" s="87"/>
      <c r="G167" s="81"/>
      <c r="H167" s="64"/>
      <c r="I167" s="64"/>
      <c r="J167" s="64"/>
      <c r="K167" s="64"/>
      <c r="L167" s="64"/>
      <c r="M167" s="64"/>
      <c r="N167" s="64"/>
      <c r="O167" s="64"/>
      <c r="P167" s="64"/>
      <c r="Q167" s="64"/>
      <c r="R167" s="64"/>
      <c r="S167" s="64"/>
      <c r="T167" s="64"/>
      <c r="U167" s="120"/>
      <c r="Y167" s="4" t="s">
        <v>5</v>
      </c>
      <c r="Z167" s="2" t="s">
        <v>28</v>
      </c>
      <c r="AA167" s="13">
        <v>250</v>
      </c>
      <c r="AB167" s="13">
        <v>250</v>
      </c>
      <c r="AC167" s="13">
        <v>250</v>
      </c>
      <c r="AD167" s="13">
        <v>250</v>
      </c>
      <c r="AE167" s="13">
        <v>250</v>
      </c>
      <c r="AF167" s="13">
        <v>250</v>
      </c>
    </row>
    <row r="168" spans="1:41" ht="15" customHeight="1">
      <c r="A168" s="412"/>
      <c r="B168" s="403"/>
      <c r="C168" s="34">
        <v>5</v>
      </c>
      <c r="D168" s="85"/>
      <c r="E168" s="86"/>
      <c r="F168" s="87"/>
      <c r="G168" s="81"/>
      <c r="H168" s="64"/>
      <c r="I168" s="64"/>
      <c r="J168" s="64"/>
      <c r="K168" s="64"/>
      <c r="L168" s="64"/>
      <c r="M168" s="64"/>
      <c r="N168" s="64"/>
      <c r="O168" s="64"/>
      <c r="P168" s="64"/>
      <c r="Q168" s="64"/>
      <c r="R168" s="64"/>
      <c r="S168" s="64"/>
      <c r="T168" s="64"/>
      <c r="U168" s="120"/>
      <c r="Y168" s="9" t="s">
        <v>6</v>
      </c>
      <c r="Z168" s="2" t="s">
        <v>27</v>
      </c>
      <c r="AA168" s="13">
        <v>450</v>
      </c>
      <c r="AB168" s="13">
        <v>450</v>
      </c>
      <c r="AC168" s="13">
        <v>450</v>
      </c>
      <c r="AD168" s="13">
        <v>450</v>
      </c>
      <c r="AE168" s="13">
        <v>450</v>
      </c>
      <c r="AF168" s="13">
        <v>450</v>
      </c>
    </row>
    <row r="169" spans="1:41" ht="15" customHeight="1" thickBot="1">
      <c r="A169" s="412"/>
      <c r="B169" s="404"/>
      <c r="C169" s="35">
        <v>6</v>
      </c>
      <c r="D169" s="88"/>
      <c r="E169" s="89"/>
      <c r="F169" s="90"/>
      <c r="G169" s="81"/>
      <c r="H169" s="64"/>
      <c r="I169" s="64"/>
      <c r="J169" s="64"/>
      <c r="K169" s="64"/>
      <c r="L169" s="64"/>
      <c r="M169" s="64"/>
      <c r="N169" s="64"/>
      <c r="O169" s="64"/>
      <c r="P169" s="64"/>
      <c r="Q169" s="64"/>
      <c r="R169" s="64"/>
      <c r="S169" s="64"/>
      <c r="T169" s="64"/>
      <c r="U169" s="120"/>
      <c r="Y169" s="1"/>
      <c r="Z169" s="21" t="s">
        <v>12</v>
      </c>
      <c r="AA169" s="13"/>
      <c r="AB169" s="13"/>
      <c r="AC169" s="13"/>
      <c r="AD169" s="13"/>
      <c r="AE169" s="13"/>
      <c r="AF169" s="13"/>
    </row>
    <row r="170" spans="1:41" ht="15" customHeight="1">
      <c r="A170" s="412"/>
      <c r="B170" s="402" t="s">
        <v>106</v>
      </c>
      <c r="C170" s="33">
        <v>1</v>
      </c>
      <c r="D170" s="91"/>
      <c r="E170" s="92"/>
      <c r="F170" s="93"/>
      <c r="G170" s="81"/>
      <c r="H170" s="64"/>
      <c r="I170" s="64"/>
      <c r="J170" s="64"/>
      <c r="K170" s="64"/>
      <c r="L170" s="64"/>
      <c r="M170" s="64"/>
      <c r="N170" s="64"/>
      <c r="O170" s="64"/>
      <c r="P170" s="64"/>
      <c r="Q170" s="64"/>
      <c r="R170" s="64"/>
      <c r="S170" s="64"/>
      <c r="T170" s="64"/>
      <c r="U170" s="120"/>
      <c r="Y170" s="9" t="s">
        <v>6</v>
      </c>
      <c r="Z170" s="5" t="s">
        <v>40</v>
      </c>
      <c r="AA170" s="13">
        <v>50</v>
      </c>
      <c r="AB170" s="13">
        <v>50</v>
      </c>
      <c r="AC170" s="13">
        <v>50</v>
      </c>
      <c r="AD170" s="13">
        <v>50</v>
      </c>
      <c r="AE170" s="13">
        <v>50</v>
      </c>
      <c r="AF170" s="13">
        <v>50</v>
      </c>
    </row>
    <row r="171" spans="1:41" ht="15" customHeight="1">
      <c r="A171" s="412"/>
      <c r="B171" s="403"/>
      <c r="C171" s="34">
        <v>2</v>
      </c>
      <c r="D171" s="85"/>
      <c r="E171" s="86"/>
      <c r="F171" s="87"/>
      <c r="G171" s="81"/>
      <c r="H171" s="64"/>
      <c r="I171" s="64"/>
      <c r="J171" s="64"/>
      <c r="K171" s="64"/>
      <c r="L171" s="64"/>
      <c r="M171" s="64"/>
      <c r="N171" s="64"/>
      <c r="O171" s="64"/>
      <c r="P171" s="64"/>
      <c r="Q171" s="64"/>
      <c r="R171" s="64"/>
      <c r="S171" s="64"/>
      <c r="T171" s="64"/>
      <c r="U171" s="120"/>
      <c r="Y171" s="1"/>
      <c r="Z171" s="21" t="s">
        <v>14</v>
      </c>
      <c r="AA171" s="13"/>
      <c r="AB171" s="13"/>
      <c r="AC171" s="13"/>
      <c r="AD171" s="13"/>
      <c r="AE171" s="13"/>
      <c r="AF171" s="13"/>
    </row>
    <row r="172" spans="1:41" ht="15" customHeight="1">
      <c r="A172" s="412"/>
      <c r="B172" s="403"/>
      <c r="C172" s="34">
        <v>3</v>
      </c>
      <c r="D172" s="85"/>
      <c r="E172" s="86"/>
      <c r="F172" s="87"/>
      <c r="G172" s="81"/>
      <c r="H172" s="64"/>
      <c r="I172" s="64"/>
      <c r="J172" s="64"/>
      <c r="K172" s="64"/>
      <c r="L172" s="64"/>
      <c r="M172" s="64"/>
      <c r="N172" s="64"/>
      <c r="O172" s="64"/>
      <c r="P172" s="64"/>
      <c r="Q172" s="64"/>
      <c r="R172" s="64"/>
      <c r="S172" s="64"/>
      <c r="T172" s="64"/>
      <c r="U172" s="120"/>
      <c r="Y172" s="9" t="s">
        <v>6</v>
      </c>
      <c r="Z172" s="5" t="s">
        <v>45</v>
      </c>
      <c r="AA172" s="13">
        <v>600</v>
      </c>
      <c r="AB172" s="13">
        <v>600</v>
      </c>
      <c r="AC172" s="13">
        <v>600</v>
      </c>
      <c r="AD172" s="13">
        <v>600</v>
      </c>
      <c r="AE172" s="13">
        <v>600</v>
      </c>
      <c r="AF172" s="13">
        <v>600</v>
      </c>
    </row>
    <row r="173" spans="1:41" ht="15" customHeight="1">
      <c r="A173" s="412"/>
      <c r="B173" s="403"/>
      <c r="C173" s="34">
        <v>4</v>
      </c>
      <c r="D173" s="85"/>
      <c r="E173" s="86"/>
      <c r="F173" s="87"/>
      <c r="G173" s="81"/>
      <c r="H173" s="64"/>
      <c r="I173" s="64"/>
      <c r="J173" s="64"/>
      <c r="K173" s="64"/>
      <c r="L173" s="64"/>
      <c r="M173" s="64"/>
      <c r="N173" s="64"/>
      <c r="O173" s="64"/>
      <c r="P173" s="64"/>
      <c r="Q173" s="64"/>
      <c r="R173" s="64"/>
      <c r="S173" s="64"/>
      <c r="T173" s="64"/>
      <c r="U173" s="120"/>
      <c r="Y173" s="1"/>
      <c r="Z173" s="21" t="s">
        <v>31</v>
      </c>
      <c r="AA173" s="13"/>
      <c r="AB173" s="13"/>
      <c r="AC173" s="13"/>
      <c r="AD173" s="13"/>
      <c r="AE173" s="13"/>
      <c r="AF173" s="13"/>
    </row>
    <row r="174" spans="1:41" ht="15" customHeight="1">
      <c r="A174" s="412"/>
      <c r="B174" s="403"/>
      <c r="C174" s="34">
        <v>5</v>
      </c>
      <c r="D174" s="85"/>
      <c r="E174" s="86"/>
      <c r="F174" s="87"/>
      <c r="G174" s="81"/>
      <c r="H174" s="64"/>
      <c r="I174" s="64"/>
      <c r="J174" s="64"/>
      <c r="K174" s="64"/>
      <c r="L174" s="64"/>
      <c r="M174" s="64"/>
      <c r="N174" s="64"/>
      <c r="O174" s="64"/>
      <c r="P174" s="64"/>
      <c r="Q174" s="64"/>
      <c r="R174" s="64"/>
      <c r="S174" s="64"/>
      <c r="T174" s="64"/>
      <c r="U174" s="120"/>
      <c r="Y174" s="4" t="s">
        <v>5</v>
      </c>
      <c r="Z174" s="5" t="s">
        <v>46</v>
      </c>
      <c r="AA174" s="13">
        <v>450</v>
      </c>
      <c r="AB174" s="13">
        <v>450</v>
      </c>
      <c r="AC174" s="13">
        <v>450</v>
      </c>
      <c r="AD174" s="13">
        <v>450</v>
      </c>
      <c r="AE174" s="13">
        <v>450</v>
      </c>
      <c r="AF174" s="13">
        <v>450</v>
      </c>
    </row>
    <row r="175" spans="1:41" ht="15" customHeight="1" thickBot="1">
      <c r="A175" s="412"/>
      <c r="B175" s="404"/>
      <c r="C175" s="35">
        <v>6</v>
      </c>
      <c r="D175" s="88"/>
      <c r="E175" s="89"/>
      <c r="F175" s="90"/>
      <c r="G175" s="81"/>
      <c r="H175" s="64"/>
      <c r="I175" s="64"/>
      <c r="J175" s="64"/>
      <c r="K175" s="65"/>
      <c r="L175" s="65"/>
      <c r="M175" s="65"/>
      <c r="N175" s="65"/>
      <c r="O175" s="64"/>
      <c r="P175" s="64"/>
      <c r="Q175" s="64"/>
      <c r="R175" s="65"/>
      <c r="S175" s="65"/>
      <c r="T175" s="65"/>
      <c r="U175" s="122"/>
      <c r="Y175" s="4" t="s">
        <v>5</v>
      </c>
      <c r="Z175" s="5" t="s">
        <v>47</v>
      </c>
      <c r="AA175" s="13">
        <v>500</v>
      </c>
      <c r="AB175" s="13">
        <v>500</v>
      </c>
      <c r="AC175" s="13">
        <v>500</v>
      </c>
      <c r="AD175" s="13">
        <v>500</v>
      </c>
      <c r="AE175" s="13">
        <v>500</v>
      </c>
      <c r="AF175" s="13">
        <v>500</v>
      </c>
    </row>
    <row r="176" spans="1:41" ht="15" customHeight="1">
      <c r="A176" s="412"/>
      <c r="B176" s="402" t="s">
        <v>103</v>
      </c>
      <c r="C176" s="33">
        <v>1</v>
      </c>
      <c r="D176" s="91"/>
      <c r="E176" s="64"/>
      <c r="F176" s="124"/>
      <c r="G176" s="81"/>
      <c r="H176" s="64"/>
      <c r="I176" s="64"/>
      <c r="J176" s="64"/>
      <c r="K176" s="124"/>
      <c r="L176" s="128"/>
      <c r="M176" s="126"/>
      <c r="N176" s="127"/>
      <c r="O176" s="72"/>
      <c r="P176" s="64"/>
      <c r="Q176" s="120"/>
      <c r="R176" s="91"/>
      <c r="S176" s="92"/>
      <c r="T176" s="164"/>
      <c r="U176" s="93"/>
      <c r="Y176" s="4" t="s">
        <v>5</v>
      </c>
      <c r="Z176" s="5" t="s">
        <v>48</v>
      </c>
      <c r="AA176" s="13">
        <v>200</v>
      </c>
      <c r="AB176" s="13">
        <v>200</v>
      </c>
      <c r="AC176" s="13">
        <v>200</v>
      </c>
      <c r="AD176" s="13">
        <v>200</v>
      </c>
      <c r="AE176" s="13">
        <v>200</v>
      </c>
      <c r="AF176" s="13">
        <v>200</v>
      </c>
      <c r="AJ176" s="1"/>
      <c r="AK176" s="1"/>
      <c r="AL176" s="1"/>
      <c r="AM176" s="1"/>
      <c r="AN176" s="1"/>
      <c r="AO176" s="1"/>
    </row>
    <row r="177" spans="1:32" ht="15" customHeight="1">
      <c r="A177" s="412"/>
      <c r="B177" s="403"/>
      <c r="C177" s="34">
        <v>2</v>
      </c>
      <c r="D177" s="85"/>
      <c r="E177" s="64"/>
      <c r="F177" s="129"/>
      <c r="G177" s="81"/>
      <c r="H177" s="64"/>
      <c r="I177" s="64"/>
      <c r="J177" s="64"/>
      <c r="K177" s="129"/>
      <c r="L177" s="85"/>
      <c r="M177" s="86"/>
      <c r="N177" s="87"/>
      <c r="O177" s="72"/>
      <c r="P177" s="64"/>
      <c r="Q177" s="120"/>
      <c r="R177" s="85"/>
      <c r="S177" s="86"/>
      <c r="T177" s="165"/>
      <c r="U177" s="87"/>
      <c r="Y177" s="4" t="s">
        <v>5</v>
      </c>
      <c r="Z177" s="5" t="s">
        <v>49</v>
      </c>
      <c r="AA177" s="13">
        <v>450</v>
      </c>
      <c r="AB177" s="13">
        <v>450</v>
      </c>
      <c r="AC177" s="13">
        <v>450</v>
      </c>
      <c r="AD177" s="13">
        <v>450</v>
      </c>
      <c r="AE177" s="13">
        <v>450</v>
      </c>
      <c r="AF177" s="13">
        <v>450</v>
      </c>
    </row>
    <row r="178" spans="1:32" ht="15" customHeight="1">
      <c r="A178" s="412"/>
      <c r="B178" s="403"/>
      <c r="C178" s="34">
        <v>3</v>
      </c>
      <c r="D178" s="85"/>
      <c r="E178" s="64"/>
      <c r="F178" s="129"/>
      <c r="G178" s="81"/>
      <c r="H178" s="64"/>
      <c r="I178" s="64"/>
      <c r="J178" s="64"/>
      <c r="K178" s="129"/>
      <c r="L178" s="85"/>
      <c r="M178" s="86"/>
      <c r="N178" s="87"/>
      <c r="O178" s="72"/>
      <c r="P178" s="64"/>
      <c r="Q178" s="120"/>
      <c r="R178" s="85"/>
      <c r="S178" s="86"/>
      <c r="T178" s="165"/>
      <c r="U178" s="87"/>
      <c r="Y178" s="9" t="s">
        <v>6</v>
      </c>
      <c r="Z178" s="5" t="s">
        <v>51</v>
      </c>
      <c r="AA178" s="13">
        <v>350</v>
      </c>
      <c r="AB178" s="13">
        <v>350</v>
      </c>
      <c r="AC178" s="13">
        <v>350</v>
      </c>
      <c r="AD178" s="13">
        <v>350</v>
      </c>
      <c r="AE178" s="13">
        <v>350</v>
      </c>
      <c r="AF178" s="13">
        <v>350</v>
      </c>
    </row>
    <row r="179" spans="1:32" ht="15" customHeight="1">
      <c r="A179" s="412"/>
      <c r="B179" s="403"/>
      <c r="C179" s="34">
        <v>4</v>
      </c>
      <c r="D179" s="85"/>
      <c r="E179" s="64"/>
      <c r="F179" s="129"/>
      <c r="G179" s="81"/>
      <c r="H179" s="64"/>
      <c r="I179" s="64"/>
      <c r="J179" s="64"/>
      <c r="K179" s="129"/>
      <c r="L179" s="85"/>
      <c r="M179" s="86"/>
      <c r="N179" s="87"/>
      <c r="O179" s="72"/>
      <c r="P179" s="64"/>
      <c r="Q179" s="120"/>
      <c r="R179" s="85"/>
      <c r="S179" s="86"/>
      <c r="T179" s="165"/>
      <c r="U179" s="87"/>
      <c r="Y179" s="1"/>
      <c r="Z179" s="21" t="s">
        <v>50</v>
      </c>
      <c r="AA179" s="13"/>
      <c r="AB179" s="13"/>
      <c r="AC179" s="13"/>
      <c r="AD179" s="13"/>
      <c r="AE179" s="13"/>
      <c r="AF179" s="13"/>
    </row>
    <row r="180" spans="1:32" ht="15" customHeight="1">
      <c r="A180" s="412"/>
      <c r="B180" s="403"/>
      <c r="C180" s="34">
        <v>5</v>
      </c>
      <c r="D180" s="85"/>
      <c r="E180" s="64"/>
      <c r="F180" s="129"/>
      <c r="G180" s="81"/>
      <c r="H180" s="64"/>
      <c r="I180" s="64"/>
      <c r="J180" s="64"/>
      <c r="K180" s="129"/>
      <c r="L180" s="85"/>
      <c r="M180" s="86"/>
      <c r="N180" s="87"/>
      <c r="O180" s="72"/>
      <c r="P180" s="64"/>
      <c r="Q180" s="120"/>
      <c r="R180" s="85"/>
      <c r="S180" s="86"/>
      <c r="T180" s="165"/>
      <c r="U180" s="87"/>
      <c r="Y180" s="4" t="s">
        <v>5</v>
      </c>
      <c r="Z180" s="5" t="s">
        <v>52</v>
      </c>
      <c r="AA180" s="13">
        <v>40</v>
      </c>
      <c r="AB180" s="13">
        <v>40</v>
      </c>
      <c r="AC180" s="13">
        <v>40</v>
      </c>
      <c r="AD180" s="13">
        <v>40</v>
      </c>
      <c r="AE180" s="13">
        <v>40</v>
      </c>
      <c r="AF180" s="13">
        <v>40</v>
      </c>
    </row>
    <row r="181" spans="1:32" ht="15" customHeight="1" thickBot="1">
      <c r="A181" s="412"/>
      <c r="B181" s="404"/>
      <c r="C181" s="35">
        <v>6</v>
      </c>
      <c r="D181" s="88"/>
      <c r="E181" s="64"/>
      <c r="F181" s="130"/>
      <c r="G181" s="81"/>
      <c r="H181" s="64"/>
      <c r="I181" s="64"/>
      <c r="J181" s="64"/>
      <c r="K181" s="130"/>
      <c r="L181" s="88"/>
      <c r="M181" s="89"/>
      <c r="N181" s="90"/>
      <c r="O181" s="72"/>
      <c r="P181" s="64"/>
      <c r="Q181" s="120"/>
      <c r="R181" s="88"/>
      <c r="S181" s="89"/>
      <c r="T181" s="166"/>
      <c r="U181" s="90"/>
      <c r="Y181" s="9" t="s">
        <v>6</v>
      </c>
      <c r="Z181" s="12" t="s">
        <v>53</v>
      </c>
      <c r="AA181" s="19">
        <v>30</v>
      </c>
      <c r="AB181" s="19">
        <v>30</v>
      </c>
      <c r="AC181" s="19">
        <v>100</v>
      </c>
      <c r="AD181" s="19">
        <v>100</v>
      </c>
      <c r="AE181" s="19">
        <v>100</v>
      </c>
      <c r="AF181" s="19">
        <v>100</v>
      </c>
    </row>
    <row r="182" spans="1:32" ht="15" customHeight="1">
      <c r="A182" s="412"/>
      <c r="B182" s="402" t="s">
        <v>102</v>
      </c>
      <c r="C182" s="33">
        <v>1</v>
      </c>
      <c r="D182" s="91"/>
      <c r="E182" s="64"/>
      <c r="F182" s="125"/>
      <c r="G182" s="81"/>
      <c r="H182" s="64"/>
      <c r="I182" s="64"/>
      <c r="J182" s="64"/>
      <c r="K182" s="124"/>
      <c r="L182" s="91"/>
      <c r="M182" s="92"/>
      <c r="N182" s="93"/>
      <c r="O182" s="72"/>
      <c r="P182" s="64"/>
      <c r="Q182" s="120"/>
      <c r="R182" s="91"/>
      <c r="S182" s="92"/>
      <c r="T182" s="164"/>
      <c r="U182" s="93"/>
      <c r="Y182" s="4" t="s">
        <v>5</v>
      </c>
      <c r="Z182" s="5" t="s">
        <v>54</v>
      </c>
      <c r="AA182" s="13">
        <v>500</v>
      </c>
      <c r="AB182" s="13">
        <v>500</v>
      </c>
      <c r="AC182" s="13">
        <v>500</v>
      </c>
      <c r="AD182" s="13">
        <v>500</v>
      </c>
      <c r="AE182" s="13">
        <v>500</v>
      </c>
      <c r="AF182" s="13">
        <v>500</v>
      </c>
    </row>
    <row r="183" spans="1:32" ht="15" customHeight="1">
      <c r="A183" s="412"/>
      <c r="B183" s="403"/>
      <c r="C183" s="34">
        <v>2</v>
      </c>
      <c r="D183" s="85"/>
      <c r="E183" s="64"/>
      <c r="F183" s="129"/>
      <c r="G183" s="81"/>
      <c r="H183" s="64"/>
      <c r="I183" s="64"/>
      <c r="J183" s="64"/>
      <c r="K183" s="129"/>
      <c r="L183" s="85"/>
      <c r="M183" s="86"/>
      <c r="N183" s="87"/>
      <c r="O183" s="72"/>
      <c r="P183" s="64"/>
      <c r="Q183" s="120"/>
      <c r="R183" s="85"/>
      <c r="S183" s="86"/>
      <c r="T183" s="165"/>
      <c r="U183" s="87"/>
      <c r="Y183" s="9" t="s">
        <v>6</v>
      </c>
      <c r="Z183" s="5" t="s">
        <v>55</v>
      </c>
      <c r="AA183" s="13">
        <v>250</v>
      </c>
      <c r="AB183" s="13">
        <v>250</v>
      </c>
      <c r="AC183" s="13">
        <v>250</v>
      </c>
      <c r="AD183" s="13">
        <v>250</v>
      </c>
      <c r="AE183" s="13">
        <v>250</v>
      </c>
      <c r="AF183" s="13">
        <v>250</v>
      </c>
    </row>
    <row r="184" spans="1:32" ht="15" customHeight="1">
      <c r="A184" s="412"/>
      <c r="B184" s="403"/>
      <c r="C184" s="34">
        <v>3</v>
      </c>
      <c r="D184" s="85"/>
      <c r="E184" s="64"/>
      <c r="F184" s="129"/>
      <c r="G184" s="81"/>
      <c r="H184" s="64"/>
      <c r="I184" s="64"/>
      <c r="J184" s="64"/>
      <c r="K184" s="129"/>
      <c r="L184" s="85"/>
      <c r="M184" s="86"/>
      <c r="N184" s="87"/>
      <c r="O184" s="72"/>
      <c r="P184" s="64"/>
      <c r="Q184" s="120"/>
      <c r="R184" s="85"/>
      <c r="S184" s="86"/>
      <c r="T184" s="165"/>
      <c r="U184" s="87"/>
      <c r="Y184" s="4" t="s">
        <v>5</v>
      </c>
      <c r="Z184" s="5" t="s">
        <v>56</v>
      </c>
      <c r="AA184" s="13">
        <v>1000</v>
      </c>
      <c r="AB184" s="13">
        <v>1000</v>
      </c>
      <c r="AC184" s="13">
        <v>1000</v>
      </c>
      <c r="AD184" s="13">
        <v>1000</v>
      </c>
      <c r="AE184" s="13">
        <v>1000</v>
      </c>
      <c r="AF184" s="13">
        <v>1000</v>
      </c>
    </row>
    <row r="185" spans="1:32" ht="15" customHeight="1">
      <c r="A185" s="412"/>
      <c r="B185" s="403"/>
      <c r="C185" s="34">
        <v>4</v>
      </c>
      <c r="D185" s="85"/>
      <c r="E185" s="64"/>
      <c r="F185" s="129"/>
      <c r="G185" s="81"/>
      <c r="H185" s="64"/>
      <c r="I185" s="64"/>
      <c r="J185" s="64"/>
      <c r="K185" s="129"/>
      <c r="L185" s="85"/>
      <c r="M185" s="86"/>
      <c r="N185" s="87"/>
      <c r="O185" s="72"/>
      <c r="P185" s="64"/>
      <c r="Q185" s="120"/>
      <c r="R185" s="85"/>
      <c r="S185" s="86"/>
      <c r="T185" s="165"/>
      <c r="U185" s="87"/>
      <c r="Y185" s="4" t="s">
        <v>5</v>
      </c>
      <c r="Z185" s="5" t="s">
        <v>57</v>
      </c>
      <c r="AA185" s="13">
        <v>500</v>
      </c>
      <c r="AB185" s="13">
        <v>500</v>
      </c>
      <c r="AC185" s="13">
        <v>500</v>
      </c>
      <c r="AD185" s="13">
        <v>500</v>
      </c>
      <c r="AE185" s="13">
        <v>500</v>
      </c>
      <c r="AF185" s="13">
        <v>500</v>
      </c>
    </row>
    <row r="186" spans="1:32" ht="15" customHeight="1">
      <c r="A186" s="412"/>
      <c r="B186" s="403"/>
      <c r="C186" s="34">
        <v>5</v>
      </c>
      <c r="D186" s="85"/>
      <c r="E186" s="64"/>
      <c r="F186" s="129"/>
      <c r="G186" s="81"/>
      <c r="H186" s="64"/>
      <c r="I186" s="64"/>
      <c r="J186" s="64"/>
      <c r="K186" s="129"/>
      <c r="L186" s="85"/>
      <c r="M186" s="86"/>
      <c r="N186" s="87"/>
      <c r="O186" s="72"/>
      <c r="P186" s="64"/>
      <c r="Q186" s="120"/>
      <c r="R186" s="85"/>
      <c r="S186" s="86"/>
      <c r="T186" s="165"/>
      <c r="U186" s="87"/>
      <c r="Y186" s="9" t="s">
        <v>6</v>
      </c>
      <c r="Z186" s="5" t="s">
        <v>58</v>
      </c>
      <c r="AA186" s="13">
        <v>200</v>
      </c>
      <c r="AB186" s="13">
        <v>200</v>
      </c>
      <c r="AC186" s="13">
        <v>200</v>
      </c>
      <c r="AD186" s="13">
        <v>200</v>
      </c>
      <c r="AE186" s="13">
        <v>200</v>
      </c>
      <c r="AF186" s="13">
        <v>200</v>
      </c>
    </row>
    <row r="187" spans="1:32" ht="15" customHeight="1" thickBot="1">
      <c r="A187" s="412"/>
      <c r="B187" s="404"/>
      <c r="C187" s="35">
        <v>6</v>
      </c>
      <c r="D187" s="88"/>
      <c r="E187" s="64"/>
      <c r="F187" s="130"/>
      <c r="G187" s="81"/>
      <c r="H187" s="64"/>
      <c r="I187" s="64"/>
      <c r="J187" s="64"/>
      <c r="K187" s="130"/>
      <c r="L187" s="88"/>
      <c r="M187" s="89"/>
      <c r="N187" s="90"/>
      <c r="O187" s="72"/>
      <c r="P187" s="64"/>
      <c r="Q187" s="120"/>
      <c r="R187" s="88"/>
      <c r="S187" s="89"/>
      <c r="T187" s="166"/>
      <c r="U187" s="90"/>
      <c r="Y187" s="9" t="s">
        <v>6</v>
      </c>
      <c r="Z187" s="5" t="s">
        <v>59</v>
      </c>
      <c r="AA187" s="13">
        <v>700</v>
      </c>
      <c r="AB187" s="13">
        <v>700</v>
      </c>
      <c r="AC187" s="13">
        <v>700</v>
      </c>
      <c r="AD187" s="13">
        <v>700</v>
      </c>
      <c r="AE187" s="13">
        <v>700</v>
      </c>
      <c r="AF187" s="13">
        <v>700</v>
      </c>
    </row>
    <row r="188" spans="1:32" ht="15" customHeight="1">
      <c r="A188" s="412"/>
      <c r="B188" s="402" t="s">
        <v>101</v>
      </c>
      <c r="C188" s="33">
        <v>1</v>
      </c>
      <c r="D188" s="91"/>
      <c r="E188" s="64"/>
      <c r="F188" s="125"/>
      <c r="G188" s="81"/>
      <c r="H188" s="64"/>
      <c r="I188" s="64"/>
      <c r="J188" s="64"/>
      <c r="K188" s="124"/>
      <c r="L188" s="91"/>
      <c r="M188" s="92"/>
      <c r="N188" s="93"/>
      <c r="O188" s="72"/>
      <c r="P188" s="64"/>
      <c r="Q188" s="120"/>
      <c r="R188" s="91"/>
      <c r="S188" s="92"/>
      <c r="T188" s="164"/>
      <c r="U188" s="93"/>
      <c r="Y188" s="4" t="s">
        <v>5</v>
      </c>
      <c r="Z188" s="5" t="s">
        <v>60</v>
      </c>
      <c r="AA188" s="13">
        <v>950</v>
      </c>
      <c r="AB188" s="13">
        <v>950</v>
      </c>
      <c r="AC188" s="13">
        <v>950</v>
      </c>
      <c r="AD188" s="13">
        <v>950</v>
      </c>
      <c r="AE188" s="13">
        <v>950</v>
      </c>
      <c r="AF188" s="13">
        <v>950</v>
      </c>
    </row>
    <row r="189" spans="1:32" ht="15" customHeight="1">
      <c r="A189" s="412"/>
      <c r="B189" s="403"/>
      <c r="C189" s="34">
        <v>2</v>
      </c>
      <c r="D189" s="85"/>
      <c r="E189" s="64"/>
      <c r="F189" s="129"/>
      <c r="G189" s="81"/>
      <c r="H189" s="64"/>
      <c r="I189" s="64"/>
      <c r="J189" s="64"/>
      <c r="K189" s="129"/>
      <c r="L189" s="85"/>
      <c r="M189" s="86"/>
      <c r="N189" s="87"/>
      <c r="O189" s="72"/>
      <c r="P189" s="64"/>
      <c r="Q189" s="120"/>
      <c r="R189" s="85"/>
      <c r="S189" s="86"/>
      <c r="T189" s="165"/>
      <c r="U189" s="87"/>
      <c r="Y189" s="9" t="s">
        <v>6</v>
      </c>
      <c r="Z189" s="5" t="s">
        <v>61</v>
      </c>
      <c r="AA189" s="13">
        <v>50</v>
      </c>
      <c r="AB189" s="13">
        <v>50</v>
      </c>
      <c r="AC189" s="13">
        <v>50</v>
      </c>
      <c r="AD189" s="13">
        <v>50</v>
      </c>
      <c r="AE189" s="13">
        <v>50</v>
      </c>
      <c r="AF189" s="13">
        <v>50</v>
      </c>
    </row>
    <row r="190" spans="1:32" ht="15" customHeight="1">
      <c r="A190" s="412"/>
      <c r="B190" s="403"/>
      <c r="C190" s="34">
        <v>3</v>
      </c>
      <c r="D190" s="85"/>
      <c r="E190" s="64"/>
      <c r="F190" s="129"/>
      <c r="G190" s="81"/>
      <c r="H190" s="64"/>
      <c r="I190" s="64"/>
      <c r="J190" s="64"/>
      <c r="K190" s="129"/>
      <c r="L190" s="85"/>
      <c r="M190" s="86"/>
      <c r="N190" s="87"/>
      <c r="O190" s="72"/>
      <c r="P190" s="64"/>
      <c r="Q190" s="120"/>
      <c r="R190" s="85"/>
      <c r="S190" s="86"/>
      <c r="T190" s="165"/>
      <c r="U190" s="87"/>
      <c r="Y190" s="1"/>
      <c r="Z190" s="21" t="s">
        <v>29</v>
      </c>
      <c r="AA190" s="1"/>
      <c r="AB190" s="1"/>
      <c r="AC190" s="1"/>
      <c r="AD190" s="1"/>
      <c r="AE190" s="1"/>
      <c r="AF190" s="1"/>
    </row>
    <row r="191" spans="1:32" ht="15" customHeight="1">
      <c r="A191" s="412"/>
      <c r="B191" s="403"/>
      <c r="C191" s="34">
        <v>4</v>
      </c>
      <c r="D191" s="85"/>
      <c r="E191" s="64"/>
      <c r="F191" s="129"/>
      <c r="G191" s="81"/>
      <c r="H191" s="64"/>
      <c r="I191" s="64"/>
      <c r="J191" s="64"/>
      <c r="K191" s="129"/>
      <c r="L191" s="85"/>
      <c r="M191" s="86"/>
      <c r="N191" s="87"/>
      <c r="O191" s="72"/>
      <c r="P191" s="64"/>
      <c r="Q191" s="120"/>
      <c r="R191" s="85"/>
      <c r="S191" s="86"/>
      <c r="T191" s="165"/>
      <c r="U191" s="87"/>
      <c r="Y191" s="4" t="s">
        <v>5</v>
      </c>
      <c r="Z191" s="5" t="s">
        <v>62</v>
      </c>
      <c r="AA191" s="13">
        <v>1500</v>
      </c>
      <c r="AB191" s="13">
        <v>1500</v>
      </c>
      <c r="AC191" s="13">
        <v>1500</v>
      </c>
      <c r="AD191" s="13">
        <v>1500</v>
      </c>
      <c r="AE191" s="13">
        <v>1500</v>
      </c>
      <c r="AF191" s="13">
        <v>1500</v>
      </c>
    </row>
    <row r="192" spans="1:32" ht="15" customHeight="1">
      <c r="A192" s="412"/>
      <c r="B192" s="403"/>
      <c r="C192" s="34">
        <v>5</v>
      </c>
      <c r="D192" s="85"/>
      <c r="E192" s="64"/>
      <c r="F192" s="129"/>
      <c r="G192" s="81"/>
      <c r="H192" s="64"/>
      <c r="I192" s="64"/>
      <c r="J192" s="64"/>
      <c r="K192" s="129"/>
      <c r="L192" s="85"/>
      <c r="M192" s="86"/>
      <c r="N192" s="87"/>
      <c r="O192" s="72"/>
      <c r="P192" s="64"/>
      <c r="Q192" s="120"/>
      <c r="R192" s="85"/>
      <c r="S192" s="86"/>
      <c r="T192" s="165"/>
      <c r="U192" s="87"/>
      <c r="Y192" s="4" t="s">
        <v>5</v>
      </c>
      <c r="Z192" s="5" t="s">
        <v>66</v>
      </c>
      <c r="AA192" s="13">
        <v>500</v>
      </c>
      <c r="AB192" s="13">
        <v>500</v>
      </c>
      <c r="AC192" s="13">
        <v>500</v>
      </c>
      <c r="AD192" s="13">
        <v>500</v>
      </c>
      <c r="AE192" s="13">
        <v>500</v>
      </c>
      <c r="AF192" s="13">
        <v>500</v>
      </c>
    </row>
    <row r="193" spans="1:32" ht="15" customHeight="1" thickBot="1">
      <c r="A193" s="413"/>
      <c r="B193" s="404"/>
      <c r="C193" s="35">
        <v>6</v>
      </c>
      <c r="D193" s="88"/>
      <c r="E193" s="131"/>
      <c r="F193" s="130"/>
      <c r="G193" s="94"/>
      <c r="H193" s="65"/>
      <c r="I193" s="64"/>
      <c r="J193" s="64"/>
      <c r="K193" s="130"/>
      <c r="L193" s="88"/>
      <c r="M193" s="89"/>
      <c r="N193" s="90"/>
      <c r="O193" s="73"/>
      <c r="P193" s="65"/>
      <c r="Q193" s="122"/>
      <c r="R193" s="88"/>
      <c r="S193" s="89"/>
      <c r="T193" s="166"/>
      <c r="U193" s="90"/>
      <c r="Y193" s="1"/>
      <c r="Z193" s="21" t="s">
        <v>30</v>
      </c>
      <c r="AA193" s="1"/>
      <c r="AB193" s="1"/>
      <c r="AC193" s="1"/>
      <c r="AD193" s="1"/>
      <c r="AE193" s="1"/>
      <c r="AF193" s="1"/>
    </row>
    <row r="194" spans="1:32" ht="15" customHeight="1" thickBot="1">
      <c r="A194" s="37"/>
      <c r="B194" s="38"/>
      <c r="C194" s="39"/>
      <c r="D194" s="141"/>
      <c r="E194" s="141"/>
      <c r="F194" s="141"/>
      <c r="G194" s="141"/>
      <c r="H194" s="142"/>
      <c r="I194" s="142"/>
      <c r="J194" s="142"/>
      <c r="K194" s="142"/>
      <c r="L194" s="142"/>
      <c r="M194" s="142"/>
      <c r="N194" s="142"/>
      <c r="O194" s="142"/>
      <c r="P194" s="142"/>
      <c r="Q194" s="142"/>
      <c r="R194" s="142"/>
      <c r="S194" s="142"/>
      <c r="T194" s="142"/>
      <c r="U194" s="143"/>
      <c r="Y194" s="4" t="s">
        <v>5</v>
      </c>
      <c r="Z194" s="5" t="s">
        <v>67</v>
      </c>
      <c r="AA194" s="13">
        <v>900</v>
      </c>
      <c r="AB194" s="13">
        <v>900</v>
      </c>
      <c r="AC194" s="13">
        <v>900</v>
      </c>
      <c r="AD194" s="13">
        <v>900</v>
      </c>
      <c r="AE194" s="13">
        <v>900</v>
      </c>
      <c r="AF194" s="13">
        <v>900</v>
      </c>
    </row>
    <row r="195" spans="1:32" ht="15" customHeight="1">
      <c r="A195" s="417" t="s">
        <v>100</v>
      </c>
      <c r="B195" s="402" t="s">
        <v>105</v>
      </c>
      <c r="C195" s="33">
        <v>1</v>
      </c>
      <c r="D195" s="116"/>
      <c r="E195" s="117"/>
      <c r="F195" s="117"/>
      <c r="G195" s="117"/>
      <c r="H195" s="117"/>
      <c r="I195" s="117"/>
      <c r="J195" s="117"/>
      <c r="K195" s="117"/>
      <c r="L195" s="117"/>
      <c r="M195" s="117"/>
      <c r="N195" s="117"/>
      <c r="O195" s="117"/>
      <c r="P195" s="118"/>
      <c r="Q195" s="118"/>
      <c r="R195" s="118"/>
      <c r="S195" s="118"/>
      <c r="T195" s="118"/>
      <c r="U195" s="119"/>
      <c r="Y195" s="49" t="s">
        <v>112</v>
      </c>
      <c r="Z195" s="5"/>
      <c r="AA195" s="51">
        <f>SUM(AA167,AA174:AA177,AA180,AA182,AA184:AA185,AA188,AA191:AA192,AA194)</f>
        <v>7740</v>
      </c>
      <c r="AB195" s="51">
        <f t="shared" ref="AB195:AF195" si="29">SUM(AB167,AB174:AB177,AB180,AB182,AB184:AB185,AB188,AB191:AB192,AB194)</f>
        <v>7740</v>
      </c>
      <c r="AC195" s="51">
        <f t="shared" si="29"/>
        <v>7740</v>
      </c>
      <c r="AD195" s="51">
        <f t="shared" si="29"/>
        <v>7740</v>
      </c>
      <c r="AE195" s="51">
        <f t="shared" si="29"/>
        <v>7740</v>
      </c>
      <c r="AF195" s="51">
        <f t="shared" si="29"/>
        <v>7740</v>
      </c>
    </row>
    <row r="196" spans="1:32" ht="15" customHeight="1">
      <c r="A196" s="418"/>
      <c r="B196" s="403"/>
      <c r="C196" s="34">
        <v>2</v>
      </c>
      <c r="D196" s="81"/>
      <c r="E196" s="77"/>
      <c r="F196" s="77"/>
      <c r="G196" s="77"/>
      <c r="H196" s="77"/>
      <c r="I196" s="77"/>
      <c r="J196" s="77"/>
      <c r="K196" s="77"/>
      <c r="L196" s="77"/>
      <c r="M196" s="77"/>
      <c r="N196" s="77"/>
      <c r="O196" s="77"/>
      <c r="P196" s="64"/>
      <c r="Q196" s="64"/>
      <c r="R196" s="64"/>
      <c r="S196" s="64"/>
      <c r="T196" s="64"/>
      <c r="U196" s="120"/>
      <c r="Y196" s="49" t="s">
        <v>113</v>
      </c>
      <c r="Z196" s="5"/>
      <c r="AA196" s="51">
        <f>SUM(AA165,AA168,AA170,AA172,AA178,AA181,AA183,AA186:AA187,AA189)</f>
        <v>3480</v>
      </c>
      <c r="AB196" s="51">
        <f t="shared" ref="AB196:AF196" si="30">SUM(AB165,AB168,AB170,AB172,AB178,AB181,AB183,AB186:AB187,AB189)</f>
        <v>3480</v>
      </c>
      <c r="AC196" s="51">
        <f t="shared" si="30"/>
        <v>3550</v>
      </c>
      <c r="AD196" s="51">
        <f t="shared" si="30"/>
        <v>3550</v>
      </c>
      <c r="AE196" s="51">
        <f t="shared" si="30"/>
        <v>3550</v>
      </c>
      <c r="AF196" s="51">
        <f t="shared" si="30"/>
        <v>3550</v>
      </c>
    </row>
    <row r="197" spans="1:32" ht="15" customHeight="1">
      <c r="A197" s="418"/>
      <c r="B197" s="403"/>
      <c r="C197" s="34">
        <v>3</v>
      </c>
      <c r="D197" s="81"/>
      <c r="E197" s="77"/>
      <c r="F197" s="77"/>
      <c r="G197" s="77"/>
      <c r="H197" s="77"/>
      <c r="I197" s="77"/>
      <c r="J197" s="77"/>
      <c r="K197" s="77"/>
      <c r="L197" s="77"/>
      <c r="M197" s="77"/>
      <c r="N197" s="77"/>
      <c r="O197" s="77"/>
      <c r="P197" s="77"/>
      <c r="Q197" s="64"/>
      <c r="R197" s="64"/>
      <c r="S197" s="64"/>
      <c r="T197" s="64"/>
      <c r="U197" s="120"/>
      <c r="Y197" s="49" t="s">
        <v>114</v>
      </c>
      <c r="Z197" s="5"/>
      <c r="AA197" s="13">
        <v>0</v>
      </c>
      <c r="AB197" s="13">
        <v>0</v>
      </c>
      <c r="AC197" s="13">
        <v>0</v>
      </c>
      <c r="AD197" s="13">
        <v>0</v>
      </c>
      <c r="AE197" s="13">
        <v>0</v>
      </c>
      <c r="AF197" s="13">
        <v>0</v>
      </c>
    </row>
    <row r="198" spans="1:32" ht="15" customHeight="1">
      <c r="A198" s="418"/>
      <c r="B198" s="403"/>
      <c r="C198" s="34">
        <v>4</v>
      </c>
      <c r="D198" s="81"/>
      <c r="E198" s="77"/>
      <c r="F198" s="77"/>
      <c r="G198" s="77"/>
      <c r="H198" s="77"/>
      <c r="I198" s="77"/>
      <c r="J198" s="77"/>
      <c r="K198" s="77"/>
      <c r="L198" s="77"/>
      <c r="M198" s="77"/>
      <c r="N198" s="77"/>
      <c r="O198" s="77"/>
      <c r="P198" s="77"/>
      <c r="Q198" s="64"/>
      <c r="R198" s="64"/>
      <c r="S198" s="64"/>
      <c r="T198" s="64"/>
      <c r="U198" s="120"/>
      <c r="Y198" s="401" t="s">
        <v>63</v>
      </c>
      <c r="Z198" s="401"/>
      <c r="AA198" s="1"/>
      <c r="AB198" s="1"/>
      <c r="AC198" s="1"/>
      <c r="AD198" s="1"/>
      <c r="AE198" s="1"/>
      <c r="AF198" s="1"/>
    </row>
    <row r="199" spans="1:32" ht="15" customHeight="1">
      <c r="A199" s="418"/>
      <c r="B199" s="403"/>
      <c r="C199" s="34">
        <v>5</v>
      </c>
      <c r="D199" s="81"/>
      <c r="E199" s="77"/>
      <c r="F199" s="77"/>
      <c r="G199" s="77"/>
      <c r="H199" s="77"/>
      <c r="I199" s="77"/>
      <c r="J199" s="77"/>
      <c r="K199" s="77"/>
      <c r="L199" s="77"/>
      <c r="M199" s="77"/>
      <c r="N199" s="77"/>
      <c r="O199" s="77"/>
      <c r="P199" s="77"/>
      <c r="Q199" s="64"/>
      <c r="R199" s="64"/>
      <c r="S199" s="64"/>
      <c r="T199" s="64"/>
      <c r="U199" s="120"/>
      <c r="Y199" s="1"/>
      <c r="Z199" s="3" t="s">
        <v>77</v>
      </c>
      <c r="AA199" s="1">
        <v>0</v>
      </c>
      <c r="AB199" s="1">
        <v>0</v>
      </c>
      <c r="AC199" s="1">
        <v>0</v>
      </c>
      <c r="AD199" s="1">
        <v>0</v>
      </c>
      <c r="AE199" s="1">
        <v>0</v>
      </c>
      <c r="AF199" s="1">
        <v>0</v>
      </c>
    </row>
    <row r="200" spans="1:32" ht="15" customHeight="1" thickBot="1">
      <c r="A200" s="418"/>
      <c r="B200" s="404"/>
      <c r="C200" s="35">
        <v>6</v>
      </c>
      <c r="D200" s="81"/>
      <c r="E200" s="77"/>
      <c r="F200" s="77"/>
      <c r="G200" s="77"/>
      <c r="H200" s="77"/>
      <c r="I200" s="77"/>
      <c r="J200" s="77"/>
      <c r="K200" s="77"/>
      <c r="L200" s="77"/>
      <c r="M200" s="77"/>
      <c r="N200" s="77"/>
      <c r="O200" s="77"/>
      <c r="P200" s="77"/>
      <c r="Q200" s="64"/>
      <c r="R200" s="64"/>
      <c r="S200" s="64"/>
      <c r="T200" s="64"/>
      <c r="U200" s="120"/>
      <c r="Y200" s="1"/>
      <c r="Z200" s="3" t="s">
        <v>79</v>
      </c>
      <c r="AA200" s="18">
        <f>AA199/365</f>
        <v>0</v>
      </c>
      <c r="AB200" s="18">
        <f t="shared" ref="AB200:AF200" si="31">AB199/365</f>
        <v>0</v>
      </c>
      <c r="AC200" s="18">
        <f t="shared" si="31"/>
        <v>0</v>
      </c>
      <c r="AD200" s="18">
        <f t="shared" si="31"/>
        <v>0</v>
      </c>
      <c r="AE200" s="18">
        <f t="shared" si="31"/>
        <v>0</v>
      </c>
      <c r="AF200" s="18">
        <f t="shared" si="31"/>
        <v>0</v>
      </c>
    </row>
    <row r="201" spans="1:32" ht="15" customHeight="1">
      <c r="A201" s="418"/>
      <c r="B201" s="402" t="s">
        <v>110</v>
      </c>
      <c r="C201" s="33">
        <v>1</v>
      </c>
      <c r="D201" s="81"/>
      <c r="E201" s="77"/>
      <c r="F201" s="77"/>
      <c r="G201" s="77"/>
      <c r="H201" s="77"/>
      <c r="I201" s="77"/>
      <c r="J201" s="77"/>
      <c r="K201" s="77"/>
      <c r="L201" s="77"/>
      <c r="M201" s="77"/>
      <c r="N201" s="77"/>
      <c r="O201" s="77"/>
      <c r="P201" s="77"/>
      <c r="Q201" s="64"/>
      <c r="R201" s="64"/>
      <c r="S201" s="64"/>
      <c r="T201" s="64"/>
      <c r="U201" s="120"/>
      <c r="Y201" s="1"/>
      <c r="Z201" s="2" t="s">
        <v>80</v>
      </c>
      <c r="AA201" s="1">
        <v>2050</v>
      </c>
      <c r="AB201" s="1">
        <v>2100</v>
      </c>
      <c r="AC201" s="1">
        <v>2150</v>
      </c>
      <c r="AD201" s="1">
        <v>2200</v>
      </c>
      <c r="AE201" s="1">
        <v>2250</v>
      </c>
      <c r="AF201" s="1">
        <v>2300</v>
      </c>
    </row>
    <row r="202" spans="1:32" ht="15" customHeight="1">
      <c r="A202" s="418"/>
      <c r="B202" s="403"/>
      <c r="C202" s="34">
        <v>2</v>
      </c>
      <c r="D202" s="81"/>
      <c r="E202" s="77"/>
      <c r="F202" s="77"/>
      <c r="G202" s="77"/>
      <c r="H202" s="77"/>
      <c r="I202" s="77"/>
      <c r="J202" s="77"/>
      <c r="K202" s="77"/>
      <c r="L202" s="77"/>
      <c r="M202" s="77"/>
      <c r="N202" s="77"/>
      <c r="O202" s="77"/>
      <c r="P202" s="77"/>
      <c r="Q202" s="64"/>
      <c r="R202" s="64"/>
      <c r="S202" s="64"/>
      <c r="T202" s="64"/>
      <c r="U202" s="120"/>
      <c r="Y202" s="1"/>
      <c r="Z202" s="2" t="s">
        <v>2</v>
      </c>
      <c r="AA202" s="1">
        <v>1450</v>
      </c>
      <c r="AB202" s="1">
        <v>1500</v>
      </c>
      <c r="AC202" s="1">
        <v>1550</v>
      </c>
      <c r="AD202" s="1">
        <v>1550</v>
      </c>
      <c r="AE202" s="1">
        <v>1600</v>
      </c>
      <c r="AF202" s="1">
        <v>1650</v>
      </c>
    </row>
    <row r="203" spans="1:32" ht="15" customHeight="1">
      <c r="A203" s="418"/>
      <c r="B203" s="403"/>
      <c r="C203" s="34">
        <v>3</v>
      </c>
      <c r="D203" s="81"/>
      <c r="E203" s="77"/>
      <c r="F203" s="77"/>
      <c r="G203" s="77"/>
      <c r="H203" s="77"/>
      <c r="I203" s="77"/>
      <c r="J203" s="77"/>
      <c r="K203" s="77"/>
      <c r="L203" s="77"/>
      <c r="M203" s="77"/>
      <c r="N203" s="77"/>
      <c r="O203" s="77"/>
      <c r="P203" s="77"/>
      <c r="Q203" s="64"/>
      <c r="R203" s="64"/>
      <c r="S203" s="64"/>
      <c r="T203" s="64"/>
      <c r="U203" s="120"/>
      <c r="Y203" s="1"/>
      <c r="Z203" s="2" t="s">
        <v>3</v>
      </c>
      <c r="AA203" s="1">
        <v>950</v>
      </c>
      <c r="AB203" s="1">
        <v>1000</v>
      </c>
      <c r="AC203" s="1">
        <v>1050</v>
      </c>
      <c r="AD203" s="1">
        <v>1100</v>
      </c>
      <c r="AE203" s="1">
        <v>1100</v>
      </c>
      <c r="AF203" s="1">
        <v>1150</v>
      </c>
    </row>
    <row r="204" spans="1:32" ht="15" customHeight="1">
      <c r="A204" s="418"/>
      <c r="B204" s="403"/>
      <c r="C204" s="34">
        <v>4</v>
      </c>
      <c r="D204" s="81"/>
      <c r="E204" s="77"/>
      <c r="F204" s="77"/>
      <c r="G204" s="77"/>
      <c r="H204" s="77"/>
      <c r="I204" s="77"/>
      <c r="J204" s="77"/>
      <c r="K204" s="77"/>
      <c r="L204" s="77"/>
      <c r="M204" s="77"/>
      <c r="N204" s="77"/>
      <c r="O204" s="77"/>
      <c r="P204" s="77"/>
      <c r="Q204" s="64"/>
      <c r="R204" s="64"/>
      <c r="S204" s="64"/>
      <c r="T204" s="64"/>
      <c r="U204" s="120"/>
      <c r="Y204" s="1"/>
      <c r="Z204" s="2" t="s">
        <v>0</v>
      </c>
      <c r="AA204" s="1">
        <v>43600</v>
      </c>
      <c r="AB204" s="1">
        <v>43600</v>
      </c>
      <c r="AC204" s="1">
        <v>43600</v>
      </c>
      <c r="AD204" s="1">
        <v>43600</v>
      </c>
      <c r="AE204" s="1">
        <v>43600</v>
      </c>
      <c r="AF204" s="1">
        <v>43600</v>
      </c>
    </row>
    <row r="205" spans="1:32" ht="15" customHeight="1">
      <c r="A205" s="418"/>
      <c r="B205" s="403"/>
      <c r="C205" s="34">
        <v>5</v>
      </c>
      <c r="D205" s="81"/>
      <c r="E205" s="77"/>
      <c r="F205" s="77"/>
      <c r="G205" s="77"/>
      <c r="H205" s="77"/>
      <c r="I205" s="77"/>
      <c r="J205" s="77"/>
      <c r="K205" s="77"/>
      <c r="L205" s="77"/>
      <c r="M205" s="77"/>
      <c r="N205" s="77"/>
      <c r="O205" s="77"/>
      <c r="P205" s="77"/>
      <c r="Q205" s="64"/>
      <c r="R205" s="64"/>
      <c r="S205" s="64"/>
      <c r="T205" s="64"/>
      <c r="U205" s="120"/>
      <c r="Y205" s="1"/>
      <c r="Z205" s="2" t="s">
        <v>83</v>
      </c>
      <c r="AA205" s="24">
        <f>AA204/365</f>
        <v>119.45205479452055</v>
      </c>
      <c r="AB205" s="24">
        <f t="shared" ref="AB205:AF205" si="32">AB204/365</f>
        <v>119.45205479452055</v>
      </c>
      <c r="AC205" s="24">
        <f t="shared" si="32"/>
        <v>119.45205479452055</v>
      </c>
      <c r="AD205" s="24">
        <f t="shared" si="32"/>
        <v>119.45205479452055</v>
      </c>
      <c r="AE205" s="24">
        <f t="shared" si="32"/>
        <v>119.45205479452055</v>
      </c>
      <c r="AF205" s="24">
        <f t="shared" si="32"/>
        <v>119.45205479452055</v>
      </c>
    </row>
    <row r="206" spans="1:32" ht="15" customHeight="1" thickBot="1">
      <c r="A206" s="418"/>
      <c r="B206" s="404"/>
      <c r="C206" s="35">
        <v>6</v>
      </c>
      <c r="D206" s="94"/>
      <c r="E206" s="121"/>
      <c r="F206" s="121"/>
      <c r="G206" s="77"/>
      <c r="H206" s="77"/>
      <c r="I206" s="77"/>
      <c r="J206" s="77"/>
      <c r="K206" s="77"/>
      <c r="L206" s="77"/>
      <c r="M206" s="77"/>
      <c r="N206" s="77"/>
      <c r="O206" s="77"/>
      <c r="P206" s="77"/>
      <c r="Q206" s="64"/>
      <c r="R206" s="64"/>
      <c r="S206" s="64"/>
      <c r="T206" s="64"/>
      <c r="U206" s="120"/>
      <c r="Y206" s="1"/>
      <c r="Z206" s="2" t="s">
        <v>81</v>
      </c>
      <c r="AA206" s="1">
        <v>250</v>
      </c>
      <c r="AB206" s="1">
        <v>250</v>
      </c>
      <c r="AC206" s="1">
        <v>250</v>
      </c>
      <c r="AD206" s="1">
        <v>250</v>
      </c>
      <c r="AE206" s="1">
        <v>250</v>
      </c>
      <c r="AF206" s="1">
        <v>250</v>
      </c>
    </row>
    <row r="207" spans="1:32" ht="15" customHeight="1">
      <c r="A207" s="418"/>
      <c r="B207" s="403" t="s">
        <v>104</v>
      </c>
      <c r="C207" s="34">
        <v>1</v>
      </c>
      <c r="D207" s="78"/>
      <c r="E207" s="79"/>
      <c r="F207" s="80"/>
      <c r="G207" s="81"/>
      <c r="H207" s="77"/>
      <c r="I207" s="77"/>
      <c r="J207" s="77"/>
      <c r="K207" s="77"/>
      <c r="L207" s="77"/>
      <c r="M207" s="77"/>
      <c r="N207" s="77"/>
      <c r="O207" s="77"/>
      <c r="P207" s="77"/>
      <c r="Q207" s="64"/>
      <c r="R207" s="64"/>
      <c r="S207" s="64"/>
      <c r="T207" s="64"/>
      <c r="U207" s="120"/>
      <c r="Y207" s="1"/>
      <c r="Z207" s="2" t="s">
        <v>82</v>
      </c>
      <c r="AA207" s="1">
        <v>300</v>
      </c>
      <c r="AB207" s="1">
        <v>300</v>
      </c>
      <c r="AC207" s="1">
        <v>300</v>
      </c>
      <c r="AD207" s="1">
        <v>300</v>
      </c>
      <c r="AE207" s="1">
        <v>300</v>
      </c>
      <c r="AF207" s="1">
        <v>300</v>
      </c>
    </row>
    <row r="208" spans="1:32" ht="15" customHeight="1">
      <c r="A208" s="418"/>
      <c r="B208" s="403"/>
      <c r="C208" s="34">
        <v>2</v>
      </c>
      <c r="D208" s="82"/>
      <c r="E208" s="83"/>
      <c r="F208" s="84"/>
      <c r="G208" s="81"/>
      <c r="H208" s="77"/>
      <c r="I208" s="77"/>
      <c r="J208" s="77"/>
      <c r="K208" s="77"/>
      <c r="L208" s="77"/>
      <c r="M208" s="77"/>
      <c r="N208" s="77"/>
      <c r="O208" s="77"/>
      <c r="P208" s="77"/>
      <c r="Q208" s="64"/>
      <c r="R208" s="64"/>
      <c r="S208" s="64"/>
      <c r="T208" s="64"/>
      <c r="U208" s="120"/>
      <c r="Y208" s="1"/>
      <c r="Z208" s="2" t="s">
        <v>1</v>
      </c>
      <c r="AA208" s="1">
        <f>AA228</f>
        <v>1425</v>
      </c>
      <c r="AB208" s="1">
        <f t="shared" ref="AB208:AF208" si="33">AB228</f>
        <v>1425</v>
      </c>
      <c r="AC208" s="1">
        <f t="shared" si="33"/>
        <v>1425</v>
      </c>
      <c r="AD208" s="1">
        <f t="shared" si="33"/>
        <v>1425</v>
      </c>
      <c r="AE208" s="1">
        <f t="shared" si="33"/>
        <v>1425</v>
      </c>
      <c r="AF208" s="1">
        <f t="shared" si="33"/>
        <v>1425</v>
      </c>
    </row>
    <row r="209" spans="1:32" ht="15" customHeight="1">
      <c r="A209" s="418"/>
      <c r="B209" s="403"/>
      <c r="C209" s="34">
        <v>3</v>
      </c>
      <c r="D209" s="85"/>
      <c r="E209" s="86"/>
      <c r="F209" s="87"/>
      <c r="G209" s="81"/>
      <c r="H209" s="64"/>
      <c r="I209" s="64"/>
      <c r="J209" s="64"/>
      <c r="K209" s="64"/>
      <c r="L209" s="64"/>
      <c r="M209" s="64"/>
      <c r="N209" s="64"/>
      <c r="O209" s="64"/>
      <c r="P209" s="64"/>
      <c r="Q209" s="64"/>
      <c r="R209" s="64"/>
      <c r="S209" s="64"/>
      <c r="T209" s="64"/>
      <c r="U209" s="120"/>
      <c r="Y209" s="1"/>
      <c r="Z209" s="2" t="s">
        <v>111</v>
      </c>
      <c r="AA209" s="1">
        <v>3</v>
      </c>
      <c r="AB209" s="1">
        <v>3</v>
      </c>
      <c r="AC209" s="1">
        <v>3</v>
      </c>
      <c r="AD209" s="1">
        <v>3</v>
      </c>
      <c r="AE209" s="1">
        <v>3</v>
      </c>
      <c r="AF209" s="1">
        <v>3</v>
      </c>
    </row>
    <row r="210" spans="1:32" ht="15" customHeight="1">
      <c r="A210" s="418"/>
      <c r="B210" s="403"/>
      <c r="C210" s="34">
        <v>4</v>
      </c>
      <c r="D210" s="85"/>
      <c r="E210" s="86"/>
      <c r="F210" s="87"/>
      <c r="G210" s="81"/>
      <c r="H210" s="64"/>
      <c r="I210" s="64"/>
      <c r="J210" s="64"/>
      <c r="K210" s="64"/>
      <c r="L210" s="64"/>
      <c r="M210" s="64"/>
      <c r="N210" s="64"/>
      <c r="O210" s="64"/>
      <c r="P210" s="64"/>
      <c r="Q210" s="64"/>
      <c r="R210" s="64"/>
      <c r="S210" s="64"/>
      <c r="T210" s="64"/>
      <c r="U210" s="120"/>
      <c r="Y210" s="1"/>
      <c r="Z210" s="1"/>
      <c r="AA210" s="1"/>
      <c r="AB210" s="1"/>
      <c r="AC210" s="1"/>
      <c r="AD210" s="1"/>
      <c r="AE210" s="1"/>
      <c r="AF210" s="1"/>
    </row>
    <row r="211" spans="1:32" ht="15" customHeight="1">
      <c r="A211" s="418"/>
      <c r="B211" s="403"/>
      <c r="C211" s="34">
        <v>5</v>
      </c>
      <c r="D211" s="85"/>
      <c r="E211" s="86"/>
      <c r="F211" s="87"/>
      <c r="G211" s="81"/>
      <c r="H211" s="64"/>
      <c r="I211" s="64"/>
      <c r="J211" s="64"/>
      <c r="K211" s="64"/>
      <c r="L211" s="64"/>
      <c r="M211" s="64"/>
      <c r="N211" s="64"/>
      <c r="O211" s="64"/>
      <c r="P211" s="64"/>
      <c r="Q211" s="64"/>
      <c r="R211" s="64"/>
      <c r="S211" s="64"/>
      <c r="T211" s="64"/>
      <c r="U211" s="120"/>
      <c r="Y211" s="1"/>
      <c r="Z211" s="21" t="s">
        <v>64</v>
      </c>
      <c r="AA211" s="1"/>
      <c r="AB211" s="1"/>
      <c r="AC211" s="1"/>
      <c r="AD211" s="1"/>
      <c r="AE211" s="1"/>
      <c r="AF211" s="1"/>
    </row>
    <row r="212" spans="1:32" ht="15" customHeight="1" thickBot="1">
      <c r="A212" s="418"/>
      <c r="B212" s="404"/>
      <c r="C212" s="35">
        <v>6</v>
      </c>
      <c r="D212" s="88"/>
      <c r="E212" s="89"/>
      <c r="F212" s="90"/>
      <c r="G212" s="81"/>
      <c r="H212" s="64"/>
      <c r="I212" s="64"/>
      <c r="J212" s="64"/>
      <c r="K212" s="64"/>
      <c r="L212" s="64"/>
      <c r="M212" s="64"/>
      <c r="N212" s="64"/>
      <c r="O212" s="64"/>
      <c r="P212" s="64"/>
      <c r="Q212" s="64"/>
      <c r="R212" s="64"/>
      <c r="S212" s="64"/>
      <c r="T212" s="64"/>
      <c r="U212" s="120"/>
      <c r="Y212" s="4" t="s">
        <v>5</v>
      </c>
      <c r="Z212" s="2" t="s">
        <v>20</v>
      </c>
      <c r="AA212" s="1">
        <v>200</v>
      </c>
      <c r="AB212" s="1">
        <v>200</v>
      </c>
      <c r="AC212" s="1">
        <v>200</v>
      </c>
      <c r="AD212" s="1">
        <v>200</v>
      </c>
      <c r="AE212" s="1">
        <v>200</v>
      </c>
      <c r="AF212" s="1">
        <v>200</v>
      </c>
    </row>
    <row r="213" spans="1:32" ht="15" customHeight="1">
      <c r="A213" s="418"/>
      <c r="B213" s="402" t="s">
        <v>106</v>
      </c>
      <c r="C213" s="33">
        <v>1</v>
      </c>
      <c r="D213" s="91"/>
      <c r="E213" s="92"/>
      <c r="F213" s="93"/>
      <c r="G213" s="81"/>
      <c r="H213" s="64"/>
      <c r="I213" s="64"/>
      <c r="J213" s="64"/>
      <c r="K213" s="64"/>
      <c r="L213" s="64"/>
      <c r="M213" s="64"/>
      <c r="N213" s="64"/>
      <c r="O213" s="64"/>
      <c r="P213" s="64"/>
      <c r="Q213" s="64"/>
      <c r="R213" s="64"/>
      <c r="S213" s="64"/>
      <c r="T213" s="64"/>
      <c r="U213" s="120"/>
      <c r="Y213" s="9" t="s">
        <v>6</v>
      </c>
      <c r="Z213" s="2" t="s">
        <v>17</v>
      </c>
      <c r="AA213" s="1">
        <v>400</v>
      </c>
      <c r="AB213" s="1">
        <v>400</v>
      </c>
      <c r="AC213" s="1">
        <v>400</v>
      </c>
      <c r="AD213" s="1">
        <v>400</v>
      </c>
      <c r="AE213" s="1">
        <v>400</v>
      </c>
      <c r="AF213" s="1">
        <v>400</v>
      </c>
    </row>
    <row r="214" spans="1:32" ht="15" customHeight="1">
      <c r="A214" s="418"/>
      <c r="B214" s="403"/>
      <c r="C214" s="34">
        <v>2</v>
      </c>
      <c r="D214" s="85"/>
      <c r="E214" s="86"/>
      <c r="F214" s="87"/>
      <c r="G214" s="81"/>
      <c r="H214" s="64"/>
      <c r="I214" s="64"/>
      <c r="J214" s="64"/>
      <c r="K214" s="64"/>
      <c r="L214" s="64"/>
      <c r="M214" s="64"/>
      <c r="N214" s="64"/>
      <c r="O214" s="64"/>
      <c r="P214" s="64"/>
      <c r="Q214" s="64"/>
      <c r="R214" s="64"/>
      <c r="S214" s="64"/>
      <c r="T214" s="64"/>
      <c r="U214" s="120"/>
      <c r="Y214" s="1"/>
      <c r="Z214" s="21" t="s">
        <v>50</v>
      </c>
      <c r="AA214" s="1"/>
      <c r="AB214" s="1"/>
      <c r="AC214" s="1"/>
      <c r="AD214" s="1"/>
      <c r="AE214" s="1"/>
      <c r="AF214" s="1"/>
    </row>
    <row r="215" spans="1:32" ht="15" customHeight="1">
      <c r="A215" s="418"/>
      <c r="B215" s="403"/>
      <c r="C215" s="34">
        <v>3</v>
      </c>
      <c r="D215" s="85"/>
      <c r="E215" s="86"/>
      <c r="F215" s="87"/>
      <c r="G215" s="81"/>
      <c r="H215" s="64"/>
      <c r="I215" s="64"/>
      <c r="J215" s="64"/>
      <c r="K215" s="64"/>
      <c r="L215" s="64"/>
      <c r="M215" s="64"/>
      <c r="N215" s="64"/>
      <c r="O215" s="64"/>
      <c r="P215" s="64"/>
      <c r="Q215" s="64"/>
      <c r="R215" s="64"/>
      <c r="S215" s="64"/>
      <c r="T215" s="64"/>
      <c r="U215" s="120"/>
      <c r="Y215" s="4" t="s">
        <v>5</v>
      </c>
      <c r="Z215" s="2" t="s">
        <v>68</v>
      </c>
      <c r="AA215" s="1">
        <v>80</v>
      </c>
      <c r="AB215" s="1">
        <v>80</v>
      </c>
      <c r="AC215" s="1">
        <v>80</v>
      </c>
      <c r="AD215" s="1">
        <v>80</v>
      </c>
      <c r="AE215" s="1">
        <v>80</v>
      </c>
      <c r="AF215" s="1">
        <v>80</v>
      </c>
    </row>
    <row r="216" spans="1:32" ht="15" customHeight="1">
      <c r="A216" s="418"/>
      <c r="B216" s="403"/>
      <c r="C216" s="34">
        <v>4</v>
      </c>
      <c r="D216" s="85"/>
      <c r="E216" s="86"/>
      <c r="F216" s="87"/>
      <c r="G216" s="81"/>
      <c r="H216" s="64"/>
      <c r="I216" s="64"/>
      <c r="J216" s="64"/>
      <c r="K216" s="64"/>
      <c r="L216" s="64"/>
      <c r="M216" s="64"/>
      <c r="N216" s="64"/>
      <c r="O216" s="64"/>
      <c r="P216" s="64"/>
      <c r="Q216" s="64"/>
      <c r="R216" s="64"/>
      <c r="S216" s="64"/>
      <c r="T216" s="64"/>
      <c r="U216" s="120"/>
      <c r="Y216" s="9" t="s">
        <v>6</v>
      </c>
      <c r="Z216" s="2" t="s">
        <v>69</v>
      </c>
      <c r="AA216" s="1">
        <v>350</v>
      </c>
      <c r="AB216" s="1">
        <v>350</v>
      </c>
      <c r="AC216" s="1">
        <v>350</v>
      </c>
      <c r="AD216" s="1">
        <v>350</v>
      </c>
      <c r="AE216" s="1">
        <v>350</v>
      </c>
      <c r="AF216" s="1">
        <v>350</v>
      </c>
    </row>
    <row r="217" spans="1:32" ht="15" customHeight="1">
      <c r="A217" s="418"/>
      <c r="B217" s="403"/>
      <c r="C217" s="34">
        <v>5</v>
      </c>
      <c r="D217" s="85"/>
      <c r="E217" s="86"/>
      <c r="F217" s="87"/>
      <c r="G217" s="81"/>
      <c r="H217" s="64"/>
      <c r="I217" s="64"/>
      <c r="J217" s="64"/>
      <c r="K217" s="64"/>
      <c r="L217" s="64"/>
      <c r="M217" s="64"/>
      <c r="N217" s="64"/>
      <c r="O217" s="64"/>
      <c r="P217" s="64"/>
      <c r="Q217" s="64"/>
      <c r="R217" s="64"/>
      <c r="S217" s="64"/>
      <c r="T217" s="64"/>
      <c r="U217" s="120"/>
      <c r="Y217" s="1"/>
      <c r="Z217" s="21" t="s">
        <v>71</v>
      </c>
      <c r="AA217" s="1"/>
      <c r="AB217" s="1"/>
      <c r="AC217" s="1"/>
      <c r="AD217" s="1"/>
      <c r="AE217" s="1"/>
      <c r="AF217" s="1"/>
    </row>
    <row r="218" spans="1:32" ht="15" customHeight="1" thickBot="1">
      <c r="A218" s="418"/>
      <c r="B218" s="404"/>
      <c r="C218" s="35">
        <v>6</v>
      </c>
      <c r="D218" s="88"/>
      <c r="E218" s="89"/>
      <c r="F218" s="90"/>
      <c r="G218" s="81"/>
      <c r="H218" s="64"/>
      <c r="I218" s="64"/>
      <c r="J218" s="64"/>
      <c r="K218" s="65"/>
      <c r="L218" s="64"/>
      <c r="M218" s="64"/>
      <c r="N218" s="64"/>
      <c r="O218" s="64"/>
      <c r="P218" s="64"/>
      <c r="Q218" s="64"/>
      <c r="R218" s="65"/>
      <c r="S218" s="65"/>
      <c r="T218" s="65"/>
      <c r="U218" s="122"/>
      <c r="Y218" s="4" t="s">
        <v>5</v>
      </c>
      <c r="Z218" s="2" t="s">
        <v>70</v>
      </c>
      <c r="AA218" s="1">
        <v>600</v>
      </c>
      <c r="AB218" s="1">
        <v>600</v>
      </c>
      <c r="AC218" s="1">
        <v>600</v>
      </c>
      <c r="AD218" s="1">
        <v>600</v>
      </c>
      <c r="AE218" s="1">
        <v>600</v>
      </c>
      <c r="AF218" s="1">
        <v>600</v>
      </c>
    </row>
    <row r="219" spans="1:32" ht="15" customHeight="1">
      <c r="A219" s="418"/>
      <c r="B219" s="402" t="s">
        <v>103</v>
      </c>
      <c r="C219" s="33">
        <v>1</v>
      </c>
      <c r="D219" s="95">
        <f>(MIN(AA227,AA200+(((AA209-1)/AA209)*AA226)+AA228-(MIN(AA206,AA204/182))-AA203))/AA203</f>
        <v>0.78947368421052633</v>
      </c>
      <c r="E219" s="158"/>
      <c r="F219" s="154">
        <f t="shared" ref="F219:F236" si="34">E41-D219</f>
        <v>2.5305729814525773</v>
      </c>
      <c r="G219" s="81"/>
      <c r="H219" s="64"/>
      <c r="I219" s="64"/>
      <c r="J219" s="64"/>
      <c r="K219" s="147" t="str">
        <f t="shared" ref="K219:K236" si="35">IF(F219&gt;0,"NEED","No NEED")</f>
        <v>NEED</v>
      </c>
      <c r="L219" s="91"/>
      <c r="M219" s="92">
        <f t="shared" ref="M219:M236" si="36">I41</f>
        <v>0</v>
      </c>
      <c r="N219" s="164"/>
      <c r="O219" s="72"/>
      <c r="P219" s="64"/>
      <c r="Q219" s="120"/>
      <c r="R219" s="167"/>
      <c r="S219" s="168">
        <f>(MIN(AA227,AA200+(((AA209-1)/AA209)*AA226)+AA228-(MIN(AA206,AA204/182))-AA203+M219))/AA203</f>
        <v>0.78947368421052633</v>
      </c>
      <c r="T219" s="180">
        <f>S219-D219</f>
        <v>0</v>
      </c>
      <c r="U219" s="169"/>
      <c r="V219" s="160" t="s">
        <v>126</v>
      </c>
      <c r="W219" s="160"/>
      <c r="X219" s="160"/>
      <c r="Y219" s="1"/>
      <c r="Z219" s="21" t="s">
        <v>72</v>
      </c>
      <c r="AA219" s="1"/>
      <c r="AB219" s="1"/>
      <c r="AC219" s="1"/>
      <c r="AD219" s="1"/>
      <c r="AE219" s="1"/>
      <c r="AF219" s="1"/>
    </row>
    <row r="220" spans="1:32" ht="15" customHeight="1">
      <c r="A220" s="418"/>
      <c r="B220" s="403"/>
      <c r="C220" s="34">
        <v>2</v>
      </c>
      <c r="D220" s="101">
        <f>(MIN(AB227,AB200+(((AB209-1)/AB209)*AB226)+AB228-(MIN(AB206,AB204/182))-AB203))/AB203</f>
        <v>0.75</v>
      </c>
      <c r="E220" s="159"/>
      <c r="F220" s="155">
        <f t="shared" si="34"/>
        <v>2.5670329670329664</v>
      </c>
      <c r="G220" s="81"/>
      <c r="H220" s="64"/>
      <c r="I220" s="64"/>
      <c r="J220" s="64"/>
      <c r="K220" s="148" t="str">
        <f t="shared" si="35"/>
        <v>NEED</v>
      </c>
      <c r="L220" s="85"/>
      <c r="M220" s="86">
        <f t="shared" si="36"/>
        <v>0</v>
      </c>
      <c r="N220" s="165"/>
      <c r="O220" s="72"/>
      <c r="P220" s="64"/>
      <c r="Q220" s="120"/>
      <c r="R220" s="170"/>
      <c r="S220" s="171">
        <f>(MIN(AB227,AB200+(((AB209-1)/AB209)*AB226)+AB228-(MIN(AB206,AB204/182))-AB203+M220))/AB203</f>
        <v>0.75</v>
      </c>
      <c r="T220" s="181">
        <f t="shared" ref="T220:T236" si="37">S220-D220</f>
        <v>0</v>
      </c>
      <c r="U220" s="172"/>
      <c r="V220" s="160" t="s">
        <v>126</v>
      </c>
      <c r="W220" s="184"/>
      <c r="X220" s="184"/>
      <c r="Y220" s="4" t="s">
        <v>5</v>
      </c>
      <c r="Z220" s="2" t="s">
        <v>24</v>
      </c>
      <c r="AA220" s="1">
        <v>500</v>
      </c>
      <c r="AB220" s="1">
        <v>500</v>
      </c>
      <c r="AC220" s="1">
        <v>500</v>
      </c>
      <c r="AD220" s="1">
        <v>500</v>
      </c>
      <c r="AE220" s="1">
        <v>500</v>
      </c>
      <c r="AF220" s="1">
        <v>500</v>
      </c>
    </row>
    <row r="221" spans="1:32" ht="15" customHeight="1">
      <c r="A221" s="418"/>
      <c r="B221" s="403"/>
      <c r="C221" s="34">
        <v>3</v>
      </c>
      <c r="D221" s="101">
        <f>(MIN(AC227,AC200+(((AC209-1)/AC209)*AC226)+AC228-(MIN(AC206,AC204/182))-AC203))/AC203</f>
        <v>0.6877202162916447</v>
      </c>
      <c r="E221" s="159"/>
      <c r="F221" s="155">
        <f t="shared" si="34"/>
        <v>2.7122797837083552</v>
      </c>
      <c r="G221" s="81"/>
      <c r="H221" s="64"/>
      <c r="I221" s="64"/>
      <c r="J221" s="64"/>
      <c r="K221" s="148" t="str">
        <f t="shared" si="35"/>
        <v>NEED</v>
      </c>
      <c r="L221" s="85"/>
      <c r="M221" s="86">
        <f t="shared" si="36"/>
        <v>100</v>
      </c>
      <c r="N221" s="165"/>
      <c r="O221" s="72"/>
      <c r="P221" s="64"/>
      <c r="Q221" s="120"/>
      <c r="R221" s="170"/>
      <c r="S221" s="171">
        <f>(MIN(AC227,AC200+(((AC209-1)/AC209)*AC226)+AC228-(MIN(AC206,AC204/182))-AC203+M221))/AC203</f>
        <v>0.7142857142857143</v>
      </c>
      <c r="T221" s="181">
        <f t="shared" si="37"/>
        <v>2.6565497994069598E-2</v>
      </c>
      <c r="U221" s="172"/>
      <c r="V221" s="161" t="s">
        <v>132</v>
      </c>
      <c r="W221" s="184"/>
      <c r="X221" s="184"/>
      <c r="Y221" s="4" t="s">
        <v>5</v>
      </c>
      <c r="Z221" s="2" t="s">
        <v>25</v>
      </c>
      <c r="AA221" s="1">
        <v>300</v>
      </c>
      <c r="AB221" s="1">
        <v>300</v>
      </c>
      <c r="AC221" s="1">
        <v>300</v>
      </c>
      <c r="AD221" s="1">
        <v>300</v>
      </c>
      <c r="AE221" s="1">
        <v>300</v>
      </c>
      <c r="AF221" s="1">
        <v>300</v>
      </c>
    </row>
    <row r="222" spans="1:32" ht="15" customHeight="1">
      <c r="A222" s="418"/>
      <c r="B222" s="403"/>
      <c r="C222" s="34">
        <v>4</v>
      </c>
      <c r="D222" s="101">
        <f>(MIN(AD227,AD200+(((AD209-1)/AD209)*AD226)+AD228-(MIN(AD206,AD204/182))-AD203))/AD203</f>
        <v>0.61100566100566089</v>
      </c>
      <c r="E222" s="159"/>
      <c r="F222" s="155">
        <f t="shared" si="34"/>
        <v>2.788994338994339</v>
      </c>
      <c r="G222" s="81"/>
      <c r="H222" s="64"/>
      <c r="I222" s="64"/>
      <c r="J222" s="64"/>
      <c r="K222" s="148" t="str">
        <f t="shared" si="35"/>
        <v>NEED</v>
      </c>
      <c r="L222" s="85"/>
      <c r="M222" s="86">
        <f t="shared" si="36"/>
        <v>0</v>
      </c>
      <c r="N222" s="165"/>
      <c r="O222" s="72"/>
      <c r="P222" s="64"/>
      <c r="Q222" s="120"/>
      <c r="R222" s="170"/>
      <c r="S222" s="171">
        <f>(MIN(AD227,AD200+(((AD209-1)/AD209)*AD226)+AD228-(MIN(AD206,AD204/182))-AD203+M222))/AD203</f>
        <v>0.61100566100566089</v>
      </c>
      <c r="T222" s="181">
        <f t="shared" si="37"/>
        <v>0</v>
      </c>
      <c r="U222" s="172"/>
      <c r="V222" s="160" t="s">
        <v>126</v>
      </c>
      <c r="W222" s="184"/>
      <c r="X222" s="184"/>
      <c r="Y222" s="4" t="s">
        <v>5</v>
      </c>
      <c r="Z222" s="2" t="s">
        <v>73</v>
      </c>
      <c r="AA222" s="1">
        <v>400</v>
      </c>
      <c r="AB222" s="1">
        <v>400</v>
      </c>
      <c r="AC222" s="1">
        <v>400</v>
      </c>
      <c r="AD222" s="1">
        <v>400</v>
      </c>
      <c r="AE222" s="1">
        <v>400</v>
      </c>
      <c r="AF222" s="1">
        <v>400</v>
      </c>
    </row>
    <row r="223" spans="1:32" ht="15" customHeight="1">
      <c r="A223" s="418"/>
      <c r="B223" s="403"/>
      <c r="C223" s="34">
        <v>5</v>
      </c>
      <c r="D223" s="101">
        <f>(MIN(AE227,AE200+(((AE209-1)/AE209)*AE226)+AE228-(MIN(AE206,AE204/182))-AE203))/AE203</f>
        <v>0.61100566100566089</v>
      </c>
      <c r="E223" s="159"/>
      <c r="F223" s="155">
        <f t="shared" si="34"/>
        <v>3.1889943389943389</v>
      </c>
      <c r="G223" s="81"/>
      <c r="H223" s="64"/>
      <c r="I223" s="64"/>
      <c r="J223" s="64"/>
      <c r="K223" s="148" t="str">
        <f t="shared" si="35"/>
        <v>NEED</v>
      </c>
      <c r="L223" s="85"/>
      <c r="M223" s="86">
        <f t="shared" si="36"/>
        <v>0</v>
      </c>
      <c r="N223" s="165"/>
      <c r="O223" s="72"/>
      <c r="P223" s="64"/>
      <c r="Q223" s="120"/>
      <c r="R223" s="170"/>
      <c r="S223" s="171">
        <f>(MIN(AE227,AE200+(((AE209-1)/AE209)*AE226)+AE228-(MIN(AE206,AE204/182))-AE203+M223))/AE203</f>
        <v>0.61100566100566089</v>
      </c>
      <c r="T223" s="181">
        <f t="shared" si="37"/>
        <v>0</v>
      </c>
      <c r="U223" s="172"/>
      <c r="V223" s="160" t="s">
        <v>126</v>
      </c>
      <c r="W223" s="184"/>
      <c r="X223" s="184"/>
      <c r="Y223" s="4" t="s">
        <v>5</v>
      </c>
      <c r="Z223" s="2" t="s">
        <v>74</v>
      </c>
      <c r="AA223" s="1">
        <v>400</v>
      </c>
      <c r="AB223" s="1">
        <v>400</v>
      </c>
      <c r="AC223" s="1">
        <v>400</v>
      </c>
      <c r="AD223" s="1">
        <v>400</v>
      </c>
      <c r="AE223" s="1">
        <v>400</v>
      </c>
      <c r="AF223" s="1">
        <v>400</v>
      </c>
    </row>
    <row r="224" spans="1:32" ht="15" customHeight="1" thickBot="1">
      <c r="A224" s="418"/>
      <c r="B224" s="404"/>
      <c r="C224" s="35">
        <v>6</v>
      </c>
      <c r="D224" s="106">
        <f>(MIN(AF227,AF200+(((AF209-1)/AF209)*AF226)+AF228-(MIN(AF206,AF204/182))-AF203))/AF203</f>
        <v>0.54096193661411041</v>
      </c>
      <c r="E224" s="159"/>
      <c r="F224" s="156">
        <f t="shared" si="34"/>
        <v>3.2590380633858893</v>
      </c>
      <c r="G224" s="81"/>
      <c r="H224" s="64"/>
      <c r="I224" s="64"/>
      <c r="J224" s="64"/>
      <c r="K224" s="149" t="str">
        <f t="shared" si="35"/>
        <v>NEED</v>
      </c>
      <c r="L224" s="88"/>
      <c r="M224" s="89">
        <f t="shared" si="36"/>
        <v>0</v>
      </c>
      <c r="N224" s="166"/>
      <c r="O224" s="72"/>
      <c r="P224" s="64"/>
      <c r="Q224" s="120"/>
      <c r="R224" s="173"/>
      <c r="S224" s="174">
        <f>(MIN(AF227,AF200+(((AF209-1)/AF209)*AF226)+AF228-(MIN(AF206,AF204/182))-AF203+M224))/AF203</f>
        <v>0.54096193661411041</v>
      </c>
      <c r="T224" s="182">
        <f t="shared" si="37"/>
        <v>0</v>
      </c>
      <c r="U224" s="175"/>
      <c r="V224" s="160" t="s">
        <v>126</v>
      </c>
      <c r="W224" s="184"/>
      <c r="X224" s="184"/>
      <c r="Y224" s="4" t="s">
        <v>5</v>
      </c>
      <c r="Z224" s="2" t="s">
        <v>75</v>
      </c>
      <c r="AA224" s="1">
        <v>100</v>
      </c>
      <c r="AB224" s="1">
        <v>100</v>
      </c>
      <c r="AC224" s="1">
        <v>100</v>
      </c>
      <c r="AD224" s="1">
        <v>100</v>
      </c>
      <c r="AE224" s="1">
        <v>100</v>
      </c>
      <c r="AF224" s="1">
        <v>100</v>
      </c>
    </row>
    <row r="225" spans="1:32" ht="15" customHeight="1">
      <c r="A225" s="418"/>
      <c r="B225" s="402" t="s">
        <v>102</v>
      </c>
      <c r="C225" s="33">
        <v>1</v>
      </c>
      <c r="D225" s="95">
        <f>(MIN(AA227,AA200+(((AA209-1)/AA209)*AA226)+AA228+(MIN(AA207,AA204/183))-AA202))/AA202</f>
        <v>0.51724137931034486</v>
      </c>
      <c r="E225" s="159"/>
      <c r="F225" s="157">
        <f t="shared" si="34"/>
        <v>0.47648763677812933</v>
      </c>
      <c r="G225" s="81"/>
      <c r="H225" s="64"/>
      <c r="I225" s="64"/>
      <c r="J225" s="64"/>
      <c r="K225" s="148" t="str">
        <f t="shared" si="35"/>
        <v>NEED</v>
      </c>
      <c r="L225" s="91"/>
      <c r="M225" s="92">
        <f t="shared" si="36"/>
        <v>0</v>
      </c>
      <c r="N225" s="164"/>
      <c r="O225" s="72"/>
      <c r="P225" s="64"/>
      <c r="Q225" s="120"/>
      <c r="R225" s="167"/>
      <c r="S225" s="168">
        <f>(MIN(AA227,AA200+(((AA209-1)/AA209)*AA226)+AA228+(MIN(AA207,AA204/183))-AA202+M225))/AA202</f>
        <v>0.51724137931034486</v>
      </c>
      <c r="T225" s="180">
        <f t="shared" si="37"/>
        <v>0</v>
      </c>
      <c r="U225" s="169"/>
      <c r="V225" s="160" t="s">
        <v>126</v>
      </c>
      <c r="W225" s="184"/>
      <c r="X225" s="184"/>
      <c r="Y225" s="4" t="s">
        <v>5</v>
      </c>
      <c r="Z225" s="2" t="s">
        <v>76</v>
      </c>
      <c r="AA225" s="1">
        <v>200</v>
      </c>
      <c r="AB225" s="1">
        <v>200</v>
      </c>
      <c r="AC225" s="1">
        <v>200</v>
      </c>
      <c r="AD225" s="1">
        <v>200</v>
      </c>
      <c r="AE225" s="1">
        <v>200</v>
      </c>
      <c r="AF225" s="1">
        <v>200</v>
      </c>
    </row>
    <row r="226" spans="1:32" ht="15" customHeight="1">
      <c r="A226" s="418"/>
      <c r="B226" s="403"/>
      <c r="C226" s="34">
        <v>2</v>
      </c>
      <c r="D226" s="101">
        <f>(MIN(AB227,AB200+(((AB209-1)/AB209)*AB226)+AB228+(MIN(AB207,AB204/183))-AB202))/AB202</f>
        <v>0.49994535519125688</v>
      </c>
      <c r="E226" s="159"/>
      <c r="F226" s="155">
        <f t="shared" si="34"/>
        <v>0.49266747621938883</v>
      </c>
      <c r="G226" s="81"/>
      <c r="H226" s="64"/>
      <c r="I226" s="64"/>
      <c r="J226" s="64"/>
      <c r="K226" s="148" t="str">
        <f t="shared" si="35"/>
        <v>NEED</v>
      </c>
      <c r="L226" s="85"/>
      <c r="M226" s="86">
        <f t="shared" si="36"/>
        <v>0</v>
      </c>
      <c r="N226" s="165"/>
      <c r="O226" s="72"/>
      <c r="P226" s="64"/>
      <c r="Q226" s="120"/>
      <c r="R226" s="170"/>
      <c r="S226" s="171">
        <f>(MIN(AB227,AB200+(((AB209-1)/AB209)*AB226)+AB228+(MIN(AB207,AB204/183))-AB202+M226))/AB202</f>
        <v>0.49994535519125688</v>
      </c>
      <c r="T226" s="181">
        <f t="shared" si="37"/>
        <v>0</v>
      </c>
      <c r="U226" s="172"/>
      <c r="V226" s="160" t="s">
        <v>126</v>
      </c>
      <c r="W226" s="184"/>
      <c r="X226" s="184"/>
      <c r="Y226" s="4" t="s">
        <v>112</v>
      </c>
      <c r="Z226" s="5"/>
      <c r="AA226" s="1">
        <f>SUM(AA212,AA215,AA218)</f>
        <v>880</v>
      </c>
      <c r="AB226" s="1">
        <f t="shared" ref="AB226:AF226" si="38">SUM(AB212,AB215,AB218)</f>
        <v>880</v>
      </c>
      <c r="AC226" s="1">
        <f t="shared" si="38"/>
        <v>880</v>
      </c>
      <c r="AD226" s="1">
        <f t="shared" si="38"/>
        <v>880</v>
      </c>
      <c r="AE226" s="1">
        <f t="shared" si="38"/>
        <v>880</v>
      </c>
      <c r="AF226" s="1">
        <f t="shared" si="38"/>
        <v>880</v>
      </c>
    </row>
    <row r="227" spans="1:32" ht="15" customHeight="1">
      <c r="A227" s="418"/>
      <c r="B227" s="403"/>
      <c r="C227" s="34">
        <v>3</v>
      </c>
      <c r="D227" s="101">
        <f>(MIN(AC227,AC200+(((AC209-1)/AC209)*AC226)+AC228+(MIN(AC207,AC204/183))-AC202))/AC202</f>
        <v>0.45156002115282923</v>
      </c>
      <c r="E227" s="159"/>
      <c r="F227" s="155">
        <f t="shared" si="34"/>
        <v>0.70132678286055627</v>
      </c>
      <c r="G227" s="81"/>
      <c r="H227" s="64"/>
      <c r="I227" s="64"/>
      <c r="J227" s="64"/>
      <c r="K227" s="148" t="str">
        <f t="shared" si="35"/>
        <v>NEED</v>
      </c>
      <c r="L227" s="85"/>
      <c r="M227" s="86">
        <f t="shared" si="36"/>
        <v>100</v>
      </c>
      <c r="N227" s="165"/>
      <c r="O227" s="72"/>
      <c r="P227" s="64"/>
      <c r="Q227" s="120"/>
      <c r="R227" s="170"/>
      <c r="S227" s="171">
        <f>(MIN(AC227,AC200+(((AC209-1)/AC209)*AC226)+AC228+(MIN(AC207,AC204/183))-AC202+M227))/AC202</f>
        <v>0.4838709677419355</v>
      </c>
      <c r="T227" s="181">
        <f t="shared" si="37"/>
        <v>3.2310946589106271E-2</v>
      </c>
      <c r="U227" s="172"/>
      <c r="V227" s="161" t="s">
        <v>132</v>
      </c>
      <c r="W227" s="184"/>
      <c r="X227" s="184"/>
      <c r="Y227" s="4" t="s">
        <v>113</v>
      </c>
      <c r="Z227" s="5"/>
      <c r="AA227" s="1">
        <f>SUM(AA213,AA216)</f>
        <v>750</v>
      </c>
      <c r="AB227" s="1">
        <f t="shared" ref="AB227:AF227" si="39">SUM(AB213,AB216)</f>
        <v>750</v>
      </c>
      <c r="AC227" s="1">
        <f t="shared" si="39"/>
        <v>750</v>
      </c>
      <c r="AD227" s="1">
        <f t="shared" si="39"/>
        <v>750</v>
      </c>
      <c r="AE227" s="1">
        <f t="shared" si="39"/>
        <v>750</v>
      </c>
      <c r="AF227" s="1">
        <f t="shared" si="39"/>
        <v>750</v>
      </c>
    </row>
    <row r="228" spans="1:32" ht="15" customHeight="1">
      <c r="A228" s="418"/>
      <c r="B228" s="403"/>
      <c r="C228" s="34">
        <v>4</v>
      </c>
      <c r="D228" s="101">
        <f>(MIN(AD227,AD200+(((AD209-1)/AD209)*AD226)+AD228+(MIN(AD207,AD204/183))-AD202))/AD202</f>
        <v>0.45156002115282923</v>
      </c>
      <c r="E228" s="159"/>
      <c r="F228" s="155">
        <f t="shared" si="34"/>
        <v>0.76272569313288496</v>
      </c>
      <c r="G228" s="81"/>
      <c r="H228" s="64"/>
      <c r="I228" s="64"/>
      <c r="J228" s="64"/>
      <c r="K228" s="148" t="str">
        <f t="shared" si="35"/>
        <v>NEED</v>
      </c>
      <c r="L228" s="85"/>
      <c r="M228" s="86">
        <f t="shared" si="36"/>
        <v>0</v>
      </c>
      <c r="N228" s="165"/>
      <c r="O228" s="72"/>
      <c r="P228" s="64"/>
      <c r="Q228" s="120"/>
      <c r="R228" s="170"/>
      <c r="S228" s="171">
        <f>(MIN(AD227,AD200+(((AD209-1)/AD209)*AD226)+AD228+(MIN(AD207,AD204/183))-AD202+M228))/AD202</f>
        <v>0.45156002115282923</v>
      </c>
      <c r="T228" s="181">
        <f t="shared" si="37"/>
        <v>0</v>
      </c>
      <c r="U228" s="172"/>
      <c r="V228" s="160" t="s">
        <v>126</v>
      </c>
      <c r="W228" s="184"/>
      <c r="X228" s="184"/>
      <c r="Y228" s="4" t="s">
        <v>114</v>
      </c>
      <c r="Z228" s="5"/>
      <c r="AA228" s="1">
        <f t="shared" ref="AA228:AF228" si="40">SUM(AA220:AA225)*$Z$229</f>
        <v>1425</v>
      </c>
      <c r="AB228" s="1">
        <f t="shared" si="40"/>
        <v>1425</v>
      </c>
      <c r="AC228" s="1">
        <f t="shared" si="40"/>
        <v>1425</v>
      </c>
      <c r="AD228" s="1">
        <f t="shared" si="40"/>
        <v>1425</v>
      </c>
      <c r="AE228" s="1">
        <f t="shared" si="40"/>
        <v>1425</v>
      </c>
      <c r="AF228" s="1">
        <f t="shared" si="40"/>
        <v>1425</v>
      </c>
    </row>
    <row r="229" spans="1:32" ht="15" customHeight="1">
      <c r="A229" s="418"/>
      <c r="B229" s="403"/>
      <c r="C229" s="34">
        <v>5</v>
      </c>
      <c r="D229" s="101">
        <f>(MIN(AE227,AE200+(((AE209-1)/AE209)*AE226)+AE228+(MIN(AE207,AE204/183))-AE202))/AE202</f>
        <v>0.40619877049180331</v>
      </c>
      <c r="E229" s="159"/>
      <c r="F229" s="155">
        <f t="shared" si="34"/>
        <v>0.9509440866510539</v>
      </c>
      <c r="G229" s="81"/>
      <c r="H229" s="64"/>
      <c r="I229" s="64"/>
      <c r="J229" s="64"/>
      <c r="K229" s="148" t="str">
        <f t="shared" si="35"/>
        <v>NEED</v>
      </c>
      <c r="L229" s="85"/>
      <c r="M229" s="86">
        <f t="shared" si="36"/>
        <v>100</v>
      </c>
      <c r="N229" s="165"/>
      <c r="O229" s="72"/>
      <c r="P229" s="64"/>
      <c r="Q229" s="120"/>
      <c r="R229" s="170"/>
      <c r="S229" s="171">
        <f>(MIN(AE227,AE200+(((AE209-1)/AE209)*AE226)+AE228+(MIN(AE207,AE204/183))-AE202+M229))/AE202</f>
        <v>0.46869877049180331</v>
      </c>
      <c r="T229" s="181">
        <f t="shared" si="37"/>
        <v>6.25E-2</v>
      </c>
      <c r="U229" s="172"/>
      <c r="V229" s="161" t="s">
        <v>132</v>
      </c>
      <c r="W229" s="184"/>
      <c r="X229" s="184"/>
      <c r="Y229" s="185" t="s">
        <v>125</v>
      </c>
      <c r="Z229" s="186">
        <v>0.75</v>
      </c>
    </row>
    <row r="230" spans="1:32" ht="15" customHeight="1" thickBot="1">
      <c r="A230" s="418"/>
      <c r="B230" s="404"/>
      <c r="C230" s="35">
        <v>6</v>
      </c>
      <c r="D230" s="106">
        <f>(MIN(AF227,AF200+(((AF209-1)/AF209)*AF226)+AF228+(MIN(AF207,AF204/183))-AF202))/AF202</f>
        <v>0.36358668653750625</v>
      </c>
      <c r="E230" s="159"/>
      <c r="F230" s="156">
        <f t="shared" si="34"/>
        <v>0.99355617060535095</v>
      </c>
      <c r="G230" s="81"/>
      <c r="H230" s="64"/>
      <c r="I230" s="64"/>
      <c r="J230" s="64"/>
      <c r="K230" s="149" t="str">
        <f t="shared" si="35"/>
        <v>NEED</v>
      </c>
      <c r="L230" s="88"/>
      <c r="M230" s="89">
        <f t="shared" si="36"/>
        <v>100</v>
      </c>
      <c r="N230" s="166"/>
      <c r="O230" s="72"/>
      <c r="P230" s="64"/>
      <c r="Q230" s="120"/>
      <c r="R230" s="173"/>
      <c r="S230" s="174">
        <f>(MIN(AF227,AF200+(((AF209-1)/AF209)*AF226)+AF228+(MIN(AF207,AF204/183))-AF202+M230))/AF202</f>
        <v>0.42419274714356686</v>
      </c>
      <c r="T230" s="182">
        <f t="shared" si="37"/>
        <v>6.0606060606060608E-2</v>
      </c>
      <c r="U230" s="175"/>
      <c r="V230" s="161" t="s">
        <v>132</v>
      </c>
      <c r="W230" s="184"/>
      <c r="X230" s="184"/>
    </row>
    <row r="231" spans="1:32" ht="15" customHeight="1">
      <c r="A231" s="418"/>
      <c r="B231" s="402" t="s">
        <v>101</v>
      </c>
      <c r="C231" s="33">
        <v>1</v>
      </c>
      <c r="D231" s="95">
        <f>(MIN(AA227,AA200+(((AA209-1)/AA209)*AA226)+AA228+AA207-AA201))/AA201</f>
        <v>0.12764227642276416</v>
      </c>
      <c r="E231" s="159"/>
      <c r="F231" s="157">
        <f t="shared" si="34"/>
        <v>6.0395884046903131E-2</v>
      </c>
      <c r="G231" s="81"/>
      <c r="H231" s="64"/>
      <c r="I231" s="64"/>
      <c r="J231" s="64"/>
      <c r="K231" s="148" t="str">
        <f t="shared" si="35"/>
        <v>NEED</v>
      </c>
      <c r="L231" s="91"/>
      <c r="M231" s="92">
        <f t="shared" si="36"/>
        <v>0</v>
      </c>
      <c r="N231" s="164"/>
      <c r="O231" s="72"/>
      <c r="P231" s="64"/>
      <c r="Q231" s="120"/>
      <c r="R231" s="167"/>
      <c r="S231" s="168">
        <f>(MIN(AA227,AA200+(((AA209-1)/AA209)*AA226)+AA228+AA207-AA201))/AA201</f>
        <v>0.12764227642276416</v>
      </c>
      <c r="T231" s="180">
        <f t="shared" si="37"/>
        <v>0</v>
      </c>
      <c r="U231" s="176"/>
      <c r="V231" s="160" t="s">
        <v>126</v>
      </c>
      <c r="W231" s="184"/>
      <c r="X231" s="184"/>
    </row>
    <row r="232" spans="1:32" ht="15" customHeight="1">
      <c r="A232" s="418"/>
      <c r="B232" s="403"/>
      <c r="C232" s="34">
        <v>2</v>
      </c>
      <c r="D232" s="101">
        <f>(MIN(AB227,AB200+(((AB209-1)/AB209)*AB226)+AB228+AB207-AB201))/AB201</f>
        <v>0.10079365079365073</v>
      </c>
      <c r="E232" s="159"/>
      <c r="F232" s="155">
        <f t="shared" si="34"/>
        <v>6.587301587301593E-2</v>
      </c>
      <c r="G232" s="81"/>
      <c r="H232" s="64"/>
      <c r="I232" s="64"/>
      <c r="J232" s="64"/>
      <c r="K232" s="148" t="str">
        <f t="shared" si="35"/>
        <v>NEED</v>
      </c>
      <c r="L232" s="85"/>
      <c r="M232" s="86">
        <f t="shared" si="36"/>
        <v>0</v>
      </c>
      <c r="N232" s="165"/>
      <c r="O232" s="72"/>
      <c r="P232" s="64"/>
      <c r="Q232" s="120"/>
      <c r="R232" s="170"/>
      <c r="S232" s="171">
        <f>(MIN(AB227,AB200+(((AB209-1)/AB209)*AB226)+AB228+AB207-AB201+M232))/AB201</f>
        <v>0.10079365079365073</v>
      </c>
      <c r="T232" s="181">
        <f t="shared" si="37"/>
        <v>0</v>
      </c>
      <c r="U232" s="84"/>
      <c r="V232" s="160" t="s">
        <v>126</v>
      </c>
      <c r="W232" s="184"/>
      <c r="X232" s="184"/>
    </row>
    <row r="233" spans="1:32" ht="15" customHeight="1">
      <c r="A233" s="418"/>
      <c r="B233" s="403"/>
      <c r="C233" s="34">
        <v>3</v>
      </c>
      <c r="D233" s="101">
        <f>(MIN(AC227,AC200+(((AC209-1)/AC209)*AC226)+AC228+AC207-AC201))/AC201</f>
        <v>7.5193798449612326E-2</v>
      </c>
      <c r="E233" s="159"/>
      <c r="F233" s="155">
        <f t="shared" si="34"/>
        <v>0.16739211839729951</v>
      </c>
      <c r="G233" s="81"/>
      <c r="H233" s="64"/>
      <c r="I233" s="64"/>
      <c r="J233" s="64"/>
      <c r="K233" s="148" t="str">
        <f t="shared" si="35"/>
        <v>NEED</v>
      </c>
      <c r="L233" s="85"/>
      <c r="M233" s="86">
        <f t="shared" si="36"/>
        <v>100</v>
      </c>
      <c r="N233" s="165"/>
      <c r="O233" s="72"/>
      <c r="P233" s="64"/>
      <c r="Q233" s="120"/>
      <c r="R233" s="170"/>
      <c r="S233" s="171">
        <f>(MIN(AC227,AC200+(((AC209-1)/AC209)*AC226)+AC228+AC207-AC201+M233))/AC201</f>
        <v>0.12170542635658908</v>
      </c>
      <c r="T233" s="181">
        <f t="shared" si="37"/>
        <v>4.6511627906976757E-2</v>
      </c>
      <c r="U233" s="84"/>
      <c r="V233" s="161" t="s">
        <v>132</v>
      </c>
      <c r="W233" s="184"/>
      <c r="X233" s="184"/>
    </row>
    <row r="234" spans="1:32" ht="15" customHeight="1">
      <c r="A234" s="418"/>
      <c r="B234" s="403"/>
      <c r="C234" s="34">
        <v>4</v>
      </c>
      <c r="D234" s="101">
        <f>(MIN(AD227,AD200+(((AD209-1)/AD209)*AD226)+AD228+AD207-AD201))/AD201</f>
        <v>5.0757575757575689E-2</v>
      </c>
      <c r="E234" s="159"/>
      <c r="F234" s="155">
        <f t="shared" si="34"/>
        <v>0.3499037374214512</v>
      </c>
      <c r="G234" s="81"/>
      <c r="H234" s="64"/>
      <c r="I234" s="64"/>
      <c r="J234" s="64"/>
      <c r="K234" s="148" t="str">
        <f t="shared" si="35"/>
        <v>NEED</v>
      </c>
      <c r="L234" s="85"/>
      <c r="M234" s="86">
        <f t="shared" si="36"/>
        <v>100</v>
      </c>
      <c r="N234" s="165"/>
      <c r="O234" s="72"/>
      <c r="P234" s="64"/>
      <c r="Q234" s="120"/>
      <c r="R234" s="170"/>
      <c r="S234" s="171">
        <f>(MIN(AD227,AD200+(((AD209-1)/AD209)*AD226)+AD228+AD207-AD201+M234))/AD201</f>
        <v>9.6212121212121138E-2</v>
      </c>
      <c r="T234" s="181">
        <f t="shared" si="37"/>
        <v>4.5454545454545449E-2</v>
      </c>
      <c r="U234" s="84"/>
      <c r="V234" s="161" t="s">
        <v>132</v>
      </c>
      <c r="W234" s="184"/>
      <c r="X234" s="184"/>
    </row>
    <row r="235" spans="1:32" ht="15" customHeight="1">
      <c r="A235" s="418"/>
      <c r="B235" s="403"/>
      <c r="C235" s="34">
        <v>5</v>
      </c>
      <c r="D235" s="101">
        <f>(MIN(AE227,AE200+(((AE209-1)/AE209)*AE226)+AE228+AE207-AE201))/AE201</f>
        <v>2.7407407407407339E-2</v>
      </c>
      <c r="E235" s="159"/>
      <c r="F235" s="155">
        <f t="shared" si="34"/>
        <v>0.3808117706747845</v>
      </c>
      <c r="G235" s="81"/>
      <c r="H235" s="64"/>
      <c r="I235" s="64"/>
      <c r="J235" s="64"/>
      <c r="K235" s="148" t="str">
        <f t="shared" si="35"/>
        <v>NEED</v>
      </c>
      <c r="L235" s="85"/>
      <c r="M235" s="86">
        <f t="shared" si="36"/>
        <v>100</v>
      </c>
      <c r="N235" s="165"/>
      <c r="O235" s="72"/>
      <c r="P235" s="64"/>
      <c r="Q235" s="120"/>
      <c r="R235" s="170"/>
      <c r="S235" s="171">
        <f>(MIN(AE227,AE200+(((AE209-1)/AE209)*AE226)+AE228+AE207-AE201+M235))/AE201</f>
        <v>7.1851851851851778E-2</v>
      </c>
      <c r="T235" s="181">
        <f t="shared" si="37"/>
        <v>4.4444444444444439E-2</v>
      </c>
      <c r="U235" s="84"/>
      <c r="V235" s="161" t="s">
        <v>132</v>
      </c>
      <c r="W235" s="184"/>
      <c r="X235" s="184"/>
    </row>
    <row r="236" spans="1:32" ht="15" customHeight="1" thickBot="1">
      <c r="A236" s="418"/>
      <c r="B236" s="404"/>
      <c r="C236" s="35">
        <v>6</v>
      </c>
      <c r="D236" s="153">
        <f>(MIN(AF227,AF200+(((AF209-1)/AF209)*AF226)+AF228+AF207-AF201))/AF201</f>
        <v>5.0724637681158757E-3</v>
      </c>
      <c r="E236" s="159"/>
      <c r="F236" s="156">
        <f t="shared" si="34"/>
        <v>0.38577963746243898</v>
      </c>
      <c r="G236" s="81"/>
      <c r="H236" s="64"/>
      <c r="I236" s="64"/>
      <c r="J236" s="120"/>
      <c r="K236" s="149" t="str">
        <f t="shared" si="35"/>
        <v>NEED</v>
      </c>
      <c r="L236" s="88"/>
      <c r="M236" s="89">
        <f t="shared" si="36"/>
        <v>100</v>
      </c>
      <c r="N236" s="166"/>
      <c r="O236" s="73"/>
      <c r="P236" s="65"/>
      <c r="Q236" s="122"/>
      <c r="R236" s="173"/>
      <c r="S236" s="174">
        <f>(MIN(AF227,AF200+(((AF209-1)/AF209)*AF226)+AF228+AF207-AF201+M236))/AF201</f>
        <v>4.8550724637681092E-2</v>
      </c>
      <c r="T236" s="182">
        <f t="shared" si="37"/>
        <v>4.3478260869565216E-2</v>
      </c>
      <c r="U236" s="175"/>
      <c r="V236" s="161" t="s">
        <v>132</v>
      </c>
      <c r="W236" s="184"/>
      <c r="X236" s="184"/>
    </row>
    <row r="237" spans="1:32">
      <c r="A237" s="418"/>
      <c r="B237" s="414" t="s">
        <v>130</v>
      </c>
      <c r="C237" s="33">
        <v>1</v>
      </c>
      <c r="D237" s="81"/>
      <c r="E237" s="64"/>
      <c r="F237" s="64"/>
      <c r="G237" s="77"/>
      <c r="H237" s="64"/>
      <c r="I237" s="64"/>
      <c r="J237" s="64"/>
      <c r="K237" s="118"/>
      <c r="L237" s="64"/>
      <c r="M237" s="64"/>
      <c r="N237" s="64"/>
      <c r="O237" s="128"/>
      <c r="P237" s="126">
        <f t="shared" ref="P237:P242" si="41">J59</f>
        <v>0</v>
      </c>
      <c r="Q237" s="127"/>
      <c r="R237" s="183"/>
      <c r="S237" s="118"/>
      <c r="T237" s="118"/>
      <c r="U237" s="119"/>
    </row>
    <row r="238" spans="1:32">
      <c r="A238" s="418"/>
      <c r="B238" s="415"/>
      <c r="C238" s="34">
        <v>2</v>
      </c>
      <c r="D238" s="81"/>
      <c r="E238" s="64"/>
      <c r="F238" s="64"/>
      <c r="G238" s="77"/>
      <c r="H238" s="64"/>
      <c r="I238" s="64"/>
      <c r="J238" s="64"/>
      <c r="K238" s="64"/>
      <c r="L238" s="64"/>
      <c r="M238" s="64"/>
      <c r="N238" s="64"/>
      <c r="O238" s="85"/>
      <c r="P238" s="86">
        <f t="shared" si="41"/>
        <v>0</v>
      </c>
      <c r="Q238" s="87"/>
      <c r="R238" s="72"/>
      <c r="S238" s="64"/>
      <c r="T238" s="64"/>
      <c r="U238" s="120"/>
    </row>
    <row r="239" spans="1:32">
      <c r="A239" s="418"/>
      <c r="B239" s="415"/>
      <c r="C239" s="34">
        <v>3</v>
      </c>
      <c r="D239" s="81"/>
      <c r="E239" s="64"/>
      <c r="F239" s="64"/>
      <c r="G239" s="77"/>
      <c r="H239" s="64"/>
      <c r="I239" s="64"/>
      <c r="J239" s="64"/>
      <c r="K239" s="64"/>
      <c r="L239" s="64"/>
      <c r="M239" s="64"/>
      <c r="N239" s="64"/>
      <c r="O239" s="85"/>
      <c r="P239" s="86">
        <f t="shared" si="41"/>
        <v>36500</v>
      </c>
      <c r="Q239" s="87"/>
      <c r="R239" s="72"/>
      <c r="S239" s="64"/>
      <c r="T239" s="64"/>
      <c r="U239" s="120"/>
    </row>
    <row r="240" spans="1:32">
      <c r="A240" s="418"/>
      <c r="B240" s="415"/>
      <c r="C240" s="34">
        <v>4</v>
      </c>
      <c r="D240" s="81"/>
      <c r="E240" s="64"/>
      <c r="F240" s="64"/>
      <c r="G240" s="77"/>
      <c r="H240" s="64"/>
      <c r="I240" s="64"/>
      <c r="J240" s="64"/>
      <c r="K240" s="64"/>
      <c r="L240" s="64"/>
      <c r="M240" s="64"/>
      <c r="N240" s="64"/>
      <c r="O240" s="85"/>
      <c r="P240" s="86">
        <f t="shared" si="41"/>
        <v>1400</v>
      </c>
      <c r="Q240" s="87"/>
      <c r="R240" s="72"/>
      <c r="S240" s="64"/>
      <c r="T240" s="64"/>
      <c r="U240" s="120"/>
    </row>
    <row r="241" spans="1:21">
      <c r="A241" s="418"/>
      <c r="B241" s="415"/>
      <c r="C241" s="34">
        <v>5</v>
      </c>
      <c r="D241" s="81"/>
      <c r="E241" s="64"/>
      <c r="F241" s="64"/>
      <c r="G241" s="77"/>
      <c r="H241" s="64"/>
      <c r="I241" s="64"/>
      <c r="J241" s="64"/>
      <c r="K241" s="64"/>
      <c r="L241" s="64"/>
      <c r="M241" s="64"/>
      <c r="N241" s="64"/>
      <c r="O241" s="85"/>
      <c r="P241" s="86">
        <f t="shared" si="41"/>
        <v>18300</v>
      </c>
      <c r="Q241" s="87"/>
      <c r="R241" s="72"/>
      <c r="S241" s="64"/>
      <c r="T241" s="64"/>
      <c r="U241" s="120"/>
    </row>
    <row r="242" spans="1:21" ht="15.75" thickBot="1">
      <c r="A242" s="418"/>
      <c r="B242" s="416"/>
      <c r="C242" s="35">
        <v>6</v>
      </c>
      <c r="D242" s="94"/>
      <c r="E242" s="65"/>
      <c r="F242" s="65"/>
      <c r="G242" s="121"/>
      <c r="H242" s="65"/>
      <c r="I242" s="65"/>
      <c r="J242" s="65"/>
      <c r="K242" s="65"/>
      <c r="L242" s="65"/>
      <c r="M242" s="65"/>
      <c r="N242" s="65"/>
      <c r="O242" s="88"/>
      <c r="P242" s="89">
        <f t="shared" si="41"/>
        <v>18300</v>
      </c>
      <c r="Q242" s="90"/>
      <c r="R242" s="73"/>
      <c r="S242" s="65"/>
      <c r="T242" s="65"/>
      <c r="U242" s="122"/>
    </row>
    <row r="243" spans="1:21" ht="15" customHeight="1">
      <c r="B243" s="449"/>
      <c r="C243" s="449"/>
      <c r="D243" s="449"/>
      <c r="E243" s="449"/>
      <c r="F243" s="449"/>
      <c r="G243" s="449"/>
      <c r="H243" s="449"/>
      <c r="I243" s="449"/>
      <c r="J243" s="449"/>
      <c r="K243" s="449"/>
      <c r="L243" s="163"/>
      <c r="M243" s="163"/>
      <c r="N243" s="163"/>
    </row>
    <row r="244" spans="1:21" ht="15.75">
      <c r="B244" s="450"/>
      <c r="C244" s="450"/>
      <c r="D244" s="450"/>
      <c r="E244" s="450"/>
      <c r="F244" s="450"/>
      <c r="G244" s="450"/>
      <c r="H244" s="450"/>
      <c r="I244" s="450"/>
      <c r="J244" s="450"/>
      <c r="K244" s="450"/>
      <c r="L244" s="163"/>
      <c r="M244" s="163"/>
      <c r="N244" s="163"/>
    </row>
    <row r="245" spans="1:21" ht="15.75">
      <c r="B245" s="450"/>
      <c r="C245" s="450"/>
      <c r="D245" s="450"/>
      <c r="E245" s="450"/>
      <c r="F245" s="450"/>
      <c r="G245" s="450"/>
      <c r="H245" s="450"/>
      <c r="I245" s="450"/>
      <c r="J245" s="450"/>
      <c r="K245" s="450"/>
      <c r="L245" s="163"/>
      <c r="M245" s="163"/>
      <c r="N245" s="163"/>
    </row>
    <row r="246" spans="1:21" ht="15.75">
      <c r="B246" s="450"/>
      <c r="C246" s="450"/>
      <c r="D246" s="450"/>
      <c r="E246" s="450"/>
      <c r="F246" s="450"/>
      <c r="G246" s="450"/>
      <c r="H246" s="450"/>
      <c r="I246" s="450"/>
      <c r="J246" s="450"/>
      <c r="K246" s="450"/>
      <c r="L246" s="163"/>
      <c r="M246" s="163"/>
      <c r="N246" s="163"/>
    </row>
    <row r="247" spans="1:21" ht="15.75">
      <c r="B247" s="450"/>
      <c r="C247" s="450"/>
      <c r="D247" s="450"/>
      <c r="E247" s="450"/>
      <c r="F247" s="450"/>
      <c r="G247" s="450"/>
      <c r="H247" s="450"/>
      <c r="I247" s="450"/>
      <c r="J247" s="450"/>
      <c r="K247" s="450"/>
      <c r="L247" s="163"/>
      <c r="M247" s="163"/>
      <c r="N247" s="163"/>
    </row>
    <row r="248" spans="1:21" ht="15.75">
      <c r="B248" s="450"/>
      <c r="C248" s="450"/>
      <c r="D248" s="450"/>
      <c r="E248" s="450"/>
      <c r="F248" s="450"/>
      <c r="G248" s="450"/>
      <c r="H248" s="450"/>
      <c r="I248" s="450"/>
      <c r="J248" s="450"/>
      <c r="K248" s="450"/>
      <c r="L248" s="163"/>
      <c r="M248" s="163"/>
      <c r="N248" s="163"/>
    </row>
    <row r="249" spans="1:21" ht="15.75">
      <c r="B249" s="450"/>
      <c r="C249" s="450"/>
      <c r="D249" s="450"/>
      <c r="E249" s="450"/>
      <c r="F249" s="450"/>
      <c r="G249" s="450"/>
      <c r="H249" s="450"/>
      <c r="I249" s="450"/>
      <c r="J249" s="450"/>
      <c r="K249" s="450"/>
      <c r="L249" s="163"/>
      <c r="M249" s="163"/>
      <c r="N249" s="163"/>
    </row>
    <row r="250" spans="1:21" ht="15.75">
      <c r="B250" s="450"/>
      <c r="C250" s="450"/>
      <c r="D250" s="450"/>
      <c r="E250" s="450"/>
      <c r="F250" s="450"/>
      <c r="G250" s="450"/>
      <c r="H250" s="450"/>
      <c r="I250" s="450"/>
      <c r="J250" s="450"/>
      <c r="K250" s="450"/>
      <c r="L250" s="163"/>
      <c r="M250" s="163"/>
      <c r="N250" s="163"/>
    </row>
    <row r="251" spans="1:21" ht="15.75">
      <c r="B251" s="450"/>
      <c r="C251" s="450"/>
      <c r="D251" s="450"/>
      <c r="E251" s="450"/>
      <c r="F251" s="450"/>
      <c r="G251" s="450"/>
      <c r="H251" s="450"/>
      <c r="I251" s="450"/>
      <c r="J251" s="450"/>
      <c r="K251" s="450"/>
      <c r="L251" s="163"/>
      <c r="M251" s="163"/>
      <c r="N251" s="163"/>
    </row>
    <row r="252" spans="1:21" ht="15.75">
      <c r="B252" s="450"/>
      <c r="C252" s="450"/>
      <c r="D252" s="450"/>
      <c r="E252" s="450"/>
      <c r="F252" s="450"/>
      <c r="G252" s="450"/>
      <c r="H252" s="450"/>
      <c r="I252" s="450"/>
      <c r="J252" s="450"/>
      <c r="K252" s="450"/>
      <c r="L252" s="163"/>
      <c r="M252" s="163"/>
      <c r="N252" s="163"/>
    </row>
    <row r="253" spans="1:21" ht="15.75">
      <c r="B253" s="450"/>
      <c r="C253" s="450"/>
      <c r="D253" s="450"/>
      <c r="E253" s="450"/>
      <c r="F253" s="450"/>
      <c r="G253" s="450"/>
      <c r="H253" s="450"/>
      <c r="I253" s="450"/>
      <c r="J253" s="450"/>
      <c r="K253" s="450"/>
      <c r="L253" s="163"/>
      <c r="M253" s="163"/>
      <c r="N253" s="163"/>
    </row>
    <row r="254" spans="1:21" ht="15" customHeight="1">
      <c r="B254" s="450"/>
      <c r="C254" s="450"/>
      <c r="D254" s="450"/>
      <c r="E254" s="450"/>
      <c r="F254" s="450"/>
      <c r="G254" s="450"/>
      <c r="H254" s="450"/>
      <c r="I254" s="450"/>
      <c r="J254" s="450"/>
      <c r="K254" s="450"/>
    </row>
    <row r="255" spans="1:21" ht="15" customHeight="1">
      <c r="B255" s="450"/>
      <c r="C255" s="450"/>
      <c r="D255" s="450"/>
      <c r="E255" s="450"/>
      <c r="F255" s="450"/>
      <c r="G255" s="450"/>
      <c r="H255" s="450"/>
      <c r="I255" s="450"/>
      <c r="J255" s="450"/>
      <c r="K255" s="450"/>
    </row>
    <row r="256" spans="1:21" ht="15" customHeight="1">
      <c r="B256" s="450"/>
      <c r="C256" s="450"/>
      <c r="D256" s="450"/>
      <c r="E256" s="450"/>
      <c r="F256" s="450"/>
      <c r="G256" s="450"/>
      <c r="H256" s="450"/>
      <c r="I256" s="450"/>
      <c r="J256" s="450"/>
      <c r="K256" s="450"/>
    </row>
    <row r="257" spans="2:11" ht="15" customHeight="1">
      <c r="B257" s="450"/>
      <c r="C257" s="450"/>
      <c r="D257" s="450"/>
      <c r="E257" s="450"/>
      <c r="F257" s="450"/>
      <c r="G257" s="450"/>
      <c r="H257" s="450"/>
      <c r="I257" s="450"/>
      <c r="J257" s="450"/>
      <c r="K257" s="450"/>
    </row>
    <row r="258" spans="2:11" ht="15" customHeight="1">
      <c r="B258" s="450"/>
      <c r="C258" s="450"/>
      <c r="D258" s="450"/>
      <c r="E258" s="450"/>
      <c r="F258" s="450"/>
      <c r="G258" s="450"/>
      <c r="H258" s="450"/>
      <c r="I258" s="450"/>
      <c r="J258" s="450"/>
      <c r="K258" s="450"/>
    </row>
    <row r="259" spans="2:11" ht="15" customHeight="1">
      <c r="B259" s="450"/>
      <c r="C259" s="450"/>
      <c r="D259" s="450"/>
      <c r="E259" s="450"/>
      <c r="F259" s="450"/>
      <c r="G259" s="450"/>
      <c r="H259" s="450"/>
      <c r="I259" s="450"/>
      <c r="J259" s="450"/>
      <c r="K259" s="450"/>
    </row>
  </sheetData>
  <dataConsolidate/>
  <mergeCells count="58">
    <mergeCell ref="L15:N15"/>
    <mergeCell ref="I1:O1"/>
    <mergeCell ref="Q1:U1"/>
    <mergeCell ref="D15:F15"/>
    <mergeCell ref="B59:B64"/>
    <mergeCell ref="A16:C16"/>
    <mergeCell ref="B17:B22"/>
    <mergeCell ref="B23:B28"/>
    <mergeCell ref="B2:E2"/>
    <mergeCell ref="B8:E8"/>
    <mergeCell ref="A17:A64"/>
    <mergeCell ref="B29:B34"/>
    <mergeCell ref="B41:B46"/>
    <mergeCell ref="B47:B52"/>
    <mergeCell ref="B53:B58"/>
    <mergeCell ref="B35:B40"/>
    <mergeCell ref="A66:A107"/>
    <mergeCell ref="B66:B71"/>
    <mergeCell ref="B78:B83"/>
    <mergeCell ref="B84:B89"/>
    <mergeCell ref="B90:B95"/>
    <mergeCell ref="B96:B101"/>
    <mergeCell ref="B102:B107"/>
    <mergeCell ref="B72:B77"/>
    <mergeCell ref="A195:A242"/>
    <mergeCell ref="B237:B242"/>
    <mergeCell ref="A152:A193"/>
    <mergeCell ref="B152:B157"/>
    <mergeCell ref="B164:B169"/>
    <mergeCell ref="A109:A150"/>
    <mergeCell ref="B109:B114"/>
    <mergeCell ref="B127:B132"/>
    <mergeCell ref="B133:B138"/>
    <mergeCell ref="B139:B144"/>
    <mergeCell ref="B145:B150"/>
    <mergeCell ref="B115:B120"/>
    <mergeCell ref="B121:B126"/>
    <mergeCell ref="AV13:BF14"/>
    <mergeCell ref="H16:K16"/>
    <mergeCell ref="Y17:Z17"/>
    <mergeCell ref="Y65:Z65"/>
    <mergeCell ref="Y108:Z108"/>
    <mergeCell ref="R15:U15"/>
    <mergeCell ref="O15:Q15"/>
    <mergeCell ref="B219:B224"/>
    <mergeCell ref="B225:B230"/>
    <mergeCell ref="B231:B236"/>
    <mergeCell ref="B201:B206"/>
    <mergeCell ref="Y151:Z151"/>
    <mergeCell ref="B213:B218"/>
    <mergeCell ref="B188:B193"/>
    <mergeCell ref="B158:B163"/>
    <mergeCell ref="Y198:Z198"/>
    <mergeCell ref="B195:B200"/>
    <mergeCell ref="B207:B212"/>
    <mergeCell ref="B170:B175"/>
    <mergeCell ref="B176:B181"/>
    <mergeCell ref="B182:B187"/>
  </mergeCells>
  <conditionalFormatting sqref="I219:I236 K219:K236">
    <cfRule type="cellIs" dxfId="83" priority="21" operator="equal">
      <formula>"No Need"</formula>
    </cfRule>
    <cfRule type="cellIs" dxfId="82" priority="22" operator="equal">
      <formula>"NEED"</formula>
    </cfRule>
  </conditionalFormatting>
  <conditionalFormatting sqref="G41:G58">
    <cfRule type="cellIs" dxfId="81" priority="19" operator="equal">
      <formula>"Alloc Possible"</formula>
    </cfRule>
    <cfRule type="cellIs" dxfId="80" priority="20" operator="equal">
      <formula>"Not Possible"</formula>
    </cfRule>
  </conditionalFormatting>
  <conditionalFormatting sqref="H133:I150">
    <cfRule type="cellIs" dxfId="79" priority="15" operator="equal">
      <formula>"No Need"</formula>
    </cfRule>
    <cfRule type="cellIs" dxfId="78" priority="16" operator="equal">
      <formula>"NEED"</formula>
    </cfRule>
  </conditionalFormatting>
  <conditionalFormatting sqref="H176:I193">
    <cfRule type="cellIs" dxfId="77" priority="17" operator="equal">
      <formula>"No Need"</formula>
    </cfRule>
    <cfRule type="cellIs" dxfId="76" priority="18" operator="equal">
      <formula>"NEED"</formula>
    </cfRule>
  </conditionalFormatting>
  <conditionalFormatting sqref="H219:H236">
    <cfRule type="cellIs" dxfId="75" priority="13" operator="equal">
      <formula>"No Need"</formula>
    </cfRule>
    <cfRule type="cellIs" dxfId="74" priority="14" operator="equal">
      <formula>"NEED"</formula>
    </cfRule>
  </conditionalFormatting>
  <conditionalFormatting sqref="I237:I242 K237:N242">
    <cfRule type="cellIs" dxfId="73" priority="9" operator="equal">
      <formula>"No Need"</formula>
    </cfRule>
    <cfRule type="cellIs" dxfId="72" priority="10" operator="equal">
      <formula>"NEED"</formula>
    </cfRule>
  </conditionalFormatting>
  <conditionalFormatting sqref="H237:H242">
    <cfRule type="cellIs" dxfId="71" priority="7" operator="equal">
      <formula>"No Need"</formula>
    </cfRule>
    <cfRule type="cellIs" dxfId="70" priority="8" operator="equal">
      <formula>"NEED"</formula>
    </cfRule>
  </conditionalFormatting>
  <conditionalFormatting sqref="F237:F242">
    <cfRule type="cellIs" dxfId="69" priority="5" operator="equal">
      <formula>"No Need"</formula>
    </cfRule>
    <cfRule type="cellIs" dxfId="68" priority="6" operator="equal">
      <formula>"NEED"</formula>
    </cfRule>
  </conditionalFormatting>
  <conditionalFormatting sqref="E237:E242">
    <cfRule type="cellIs" dxfId="67" priority="3" operator="equal">
      <formula>"No Need"</formula>
    </cfRule>
    <cfRule type="cellIs" dxfId="66" priority="4" operator="equal">
      <formula>"NEED"</formula>
    </cfRule>
  </conditionalFormatting>
  <pageMargins left="0.70866141732283472" right="0.70866141732283472" top="0.74803149606299213" bottom="0.74803149606299213" header="0.31496062992125984" footer="0.31496062992125984"/>
  <pageSetup paperSize="9" scale="13"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23" id="{DB095B5F-DD55-4038-837A-053F8055EA73}">
            <x14:iconSet iconSet="3Triangles">
              <x14:cfvo type="percent">
                <xm:f>0</xm:f>
              </x14:cfvo>
              <x14:cfvo type="percent">
                <xm:f>33</xm:f>
              </x14:cfvo>
              <x14:cfvo type="percent">
                <xm:f>67</xm:f>
              </x14:cfvo>
            </x14:iconSet>
          </x14:cfRule>
          <xm:sqref>Y97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100"/>
  <sheetViews>
    <sheetView zoomScale="80" zoomScaleNormal="80" workbookViewId="0">
      <selection activeCell="G18" sqref="G18"/>
    </sheetView>
  </sheetViews>
  <sheetFormatPr defaultRowHeight="15"/>
  <cols>
    <col min="1" max="2" width="2.77734375" customWidth="1"/>
    <col min="3" max="3" width="42.77734375" customWidth="1"/>
    <col min="4" max="4" width="17.5546875" customWidth="1"/>
    <col min="5" max="6" width="13" customWidth="1"/>
    <col min="7" max="7" width="21.6640625" bestFit="1" customWidth="1"/>
    <col min="8" max="8" width="13.44140625" hidden="1" customWidth="1"/>
    <col min="9" max="10" width="15.33203125" hidden="1" customWidth="1"/>
    <col min="11" max="11" width="10.44140625" hidden="1" customWidth="1"/>
    <col min="12" max="12" width="21.6640625" bestFit="1" customWidth="1"/>
    <col min="13" max="13" width="11.5546875" hidden="1" customWidth="1"/>
    <col min="14" max="14" width="21.6640625" bestFit="1" customWidth="1"/>
    <col min="15" max="15" width="11.5546875" hidden="1" customWidth="1"/>
    <col min="16" max="16" width="21.6640625" bestFit="1" customWidth="1"/>
    <col min="17" max="18" width="11.5546875" customWidth="1"/>
    <col min="20" max="20" width="14.33203125" bestFit="1" customWidth="1"/>
    <col min="21" max="21" width="35.5546875" customWidth="1"/>
    <col min="22" max="22" width="12.77734375" bestFit="1" customWidth="1"/>
    <col min="23" max="24" width="10.21875" bestFit="1" customWidth="1"/>
    <col min="25" max="25" width="10.77734375" bestFit="1" customWidth="1"/>
    <col min="26" max="27" width="10.21875" bestFit="1" customWidth="1"/>
  </cols>
  <sheetData>
    <row r="1" spans="1:27">
      <c r="A1" s="187" t="s">
        <v>136</v>
      </c>
      <c r="B1" s="187" t="s">
        <v>97</v>
      </c>
      <c r="C1" s="187" t="s">
        <v>98</v>
      </c>
      <c r="D1" s="187"/>
      <c r="E1" s="187"/>
      <c r="F1" s="187"/>
      <c r="G1" s="187" t="s">
        <v>99</v>
      </c>
      <c r="H1" s="187" t="s">
        <v>137</v>
      </c>
      <c r="I1" s="187" t="s">
        <v>138</v>
      </c>
      <c r="J1" s="187" t="s">
        <v>100</v>
      </c>
      <c r="K1" s="187" t="s">
        <v>139</v>
      </c>
      <c r="L1" s="187" t="s">
        <v>140</v>
      </c>
      <c r="M1" s="187" t="s">
        <v>141</v>
      </c>
      <c r="N1" s="187" t="s">
        <v>142</v>
      </c>
      <c r="O1" s="187" t="s">
        <v>143</v>
      </c>
      <c r="P1" s="187" t="s">
        <v>144</v>
      </c>
      <c r="Q1" s="187" t="s">
        <v>145</v>
      </c>
      <c r="R1" s="187" t="s">
        <v>146</v>
      </c>
    </row>
    <row r="2" spans="1:27" ht="16.5" thickBot="1">
      <c r="A2" s="188">
        <v>2</v>
      </c>
      <c r="B2" s="189"/>
      <c r="C2" s="190"/>
      <c r="D2" s="191" t="s">
        <v>216</v>
      </c>
      <c r="E2" s="191">
        <v>2013</v>
      </c>
      <c r="F2" s="191">
        <v>2014</v>
      </c>
      <c r="G2" s="191">
        <v>2015</v>
      </c>
      <c r="H2" s="190"/>
      <c r="I2" s="190"/>
      <c r="J2" s="190"/>
      <c r="K2" s="190"/>
      <c r="L2" s="191">
        <v>2016</v>
      </c>
      <c r="M2" s="192"/>
      <c r="N2" s="191">
        <v>2017</v>
      </c>
      <c r="O2" s="190"/>
      <c r="P2" s="191">
        <v>2018</v>
      </c>
      <c r="Q2" s="190"/>
      <c r="R2" s="190"/>
      <c r="U2" s="271"/>
      <c r="V2" s="400" t="s">
        <v>184</v>
      </c>
      <c r="W2" s="400"/>
      <c r="X2" s="400"/>
      <c r="Y2" s="400"/>
      <c r="Z2" s="400"/>
      <c r="AA2" s="400"/>
    </row>
    <row r="3" spans="1:27" ht="16.5" customHeight="1" thickTop="1">
      <c r="A3" s="193">
        <v>3</v>
      </c>
      <c r="B3" s="438" t="s">
        <v>147</v>
      </c>
      <c r="C3" s="238" t="s">
        <v>175</v>
      </c>
      <c r="D3" s="239"/>
      <c r="E3" s="239"/>
      <c r="F3" s="239"/>
      <c r="G3" s="239">
        <v>200000</v>
      </c>
      <c r="H3" s="240"/>
      <c r="I3" s="240"/>
      <c r="J3" s="240"/>
      <c r="K3" s="240"/>
      <c r="L3" s="239">
        <v>205000</v>
      </c>
      <c r="M3" s="241"/>
      <c r="N3" s="239">
        <v>205000</v>
      </c>
      <c r="O3" s="241"/>
      <c r="P3" s="239">
        <v>210000</v>
      </c>
      <c r="Q3" s="240"/>
      <c r="R3" s="242"/>
      <c r="U3" s="272"/>
      <c r="V3" s="273">
        <v>2013</v>
      </c>
      <c r="W3" s="273">
        <v>2014</v>
      </c>
      <c r="X3" s="273">
        <v>2015</v>
      </c>
      <c r="Y3" s="273">
        <v>2016</v>
      </c>
      <c r="Z3" s="273">
        <v>2017</v>
      </c>
      <c r="AA3" s="273">
        <v>2018</v>
      </c>
    </row>
    <row r="4" spans="1:27" ht="15.75">
      <c r="A4" s="194">
        <v>4</v>
      </c>
      <c r="B4" s="439"/>
      <c r="C4" s="195" t="s">
        <v>148</v>
      </c>
      <c r="D4" s="243"/>
      <c r="E4" s="243"/>
      <c r="F4" s="243"/>
      <c r="G4" s="243"/>
      <c r="H4" s="196" t="s">
        <v>180</v>
      </c>
      <c r="I4" s="244"/>
      <c r="J4" s="244"/>
      <c r="K4" s="244"/>
      <c r="L4" s="243"/>
      <c r="M4" s="196" t="s">
        <v>180</v>
      </c>
      <c r="N4" s="243"/>
      <c r="O4" s="196" t="s">
        <v>180</v>
      </c>
      <c r="P4" s="243"/>
      <c r="Q4" s="196" t="s">
        <v>180</v>
      </c>
      <c r="R4" s="245"/>
      <c r="U4" s="270" t="s">
        <v>183</v>
      </c>
      <c r="V4" s="296">
        <v>11346.610001696317</v>
      </c>
      <c r="W4" s="296">
        <v>10802.918272448369</v>
      </c>
      <c r="X4" s="296">
        <v>10259.226543200421</v>
      </c>
      <c r="Y4" s="296">
        <v>10325.415101543649</v>
      </c>
      <c r="Z4" s="296">
        <v>10391.603659886876</v>
      </c>
      <c r="AA4" s="296">
        <v>10457.792218230106</v>
      </c>
    </row>
    <row r="5" spans="1:27" ht="15.75">
      <c r="A5" s="194">
        <v>5</v>
      </c>
      <c r="B5" s="439"/>
      <c r="C5" s="201" t="s">
        <v>149</v>
      </c>
      <c r="D5" s="202"/>
      <c r="E5" s="202"/>
      <c r="F5" s="202"/>
      <c r="G5" s="324">
        <v>5.5E-2</v>
      </c>
      <c r="H5" s="203">
        <f>$G$3*G5</f>
        <v>11000</v>
      </c>
      <c r="I5" s="204"/>
      <c r="J5" s="204"/>
      <c r="K5" s="204"/>
      <c r="L5" s="324">
        <v>5.5E-2</v>
      </c>
      <c r="M5" s="203">
        <f>$L$3*L5</f>
        <v>11275</v>
      </c>
      <c r="N5" s="324">
        <v>5.5E-2</v>
      </c>
      <c r="O5" s="203">
        <f>$N$3*N5</f>
        <v>11275</v>
      </c>
      <c r="P5" s="324">
        <v>0.06</v>
      </c>
      <c r="Q5" s="203">
        <f>$P$3*P5</f>
        <v>12600</v>
      </c>
      <c r="R5" s="201"/>
      <c r="U5" s="270" t="s">
        <v>182</v>
      </c>
      <c r="V5" s="296">
        <v>43572.984749455332</v>
      </c>
      <c r="W5" s="296">
        <v>47058.823529411762</v>
      </c>
      <c r="X5" s="296">
        <v>50544.662309368192</v>
      </c>
      <c r="Y5" s="296">
        <v>50849.67320261438</v>
      </c>
      <c r="Z5" s="296">
        <v>51154.684095860561</v>
      </c>
      <c r="AA5" s="296">
        <v>51459.694989106749</v>
      </c>
    </row>
    <row r="6" spans="1:27" ht="15.75">
      <c r="A6" s="194">
        <v>6</v>
      </c>
      <c r="B6" s="439"/>
      <c r="C6" s="201" t="s">
        <v>150</v>
      </c>
      <c r="D6" s="202"/>
      <c r="E6" s="202"/>
      <c r="F6" s="202"/>
      <c r="G6" s="324">
        <v>0.1</v>
      </c>
      <c r="H6" s="203">
        <f>$G$3*G6</f>
        <v>20000</v>
      </c>
      <c r="I6" s="204"/>
      <c r="J6" s="204"/>
      <c r="K6" s="204"/>
      <c r="L6" s="324">
        <v>0.1</v>
      </c>
      <c r="M6" s="203">
        <f>$L$3*L6</f>
        <v>20500</v>
      </c>
      <c r="N6" s="324">
        <v>0.1</v>
      </c>
      <c r="O6" s="203">
        <f>$N$3*N6</f>
        <v>20500</v>
      </c>
      <c r="P6" s="324">
        <v>0.1</v>
      </c>
      <c r="Q6" s="203">
        <f>$P$3*P6</f>
        <v>21000</v>
      </c>
      <c r="R6" s="201"/>
      <c r="U6" s="270" t="s">
        <v>181</v>
      </c>
      <c r="V6" s="296">
        <v>25275.215502806179</v>
      </c>
      <c r="W6" s="296">
        <v>26538.976277946487</v>
      </c>
      <c r="X6" s="296">
        <v>27802.737053086799</v>
      </c>
      <c r="Y6" s="296">
        <v>28055.489208114857</v>
      </c>
      <c r="Z6" s="296">
        <v>28308.241363142926</v>
      </c>
      <c r="AA6" s="296">
        <v>28560.993518170984</v>
      </c>
    </row>
    <row r="7" spans="1:27" ht="16.5" thickBot="1">
      <c r="A7" s="194">
        <v>7</v>
      </c>
      <c r="B7" s="440"/>
      <c r="C7" s="206" t="s">
        <v>151</v>
      </c>
      <c r="D7" s="289"/>
      <c r="E7" s="289"/>
      <c r="F7" s="289"/>
      <c r="G7" s="325">
        <v>0</v>
      </c>
      <c r="H7" s="207">
        <f>$G$3*G7</f>
        <v>0</v>
      </c>
      <c r="I7" s="208"/>
      <c r="J7" s="208"/>
      <c r="K7" s="208"/>
      <c r="L7" s="326">
        <v>0</v>
      </c>
      <c r="M7" s="207">
        <f>$L$3*L7</f>
        <v>0</v>
      </c>
      <c r="N7" s="326">
        <v>0</v>
      </c>
      <c r="O7" s="207">
        <f>$N$3*N7</f>
        <v>0</v>
      </c>
      <c r="P7" s="326">
        <v>0</v>
      </c>
      <c r="Q7" s="207">
        <f>$P$3*P7</f>
        <v>0</v>
      </c>
      <c r="R7" s="206"/>
      <c r="U7" s="270" t="s">
        <v>191</v>
      </c>
      <c r="V7" s="297">
        <v>3.7037037037037033</v>
      </c>
      <c r="W7" s="297">
        <v>6.3492063492063489</v>
      </c>
      <c r="X7" s="297">
        <v>8.9947089947089935</v>
      </c>
      <c r="Y7" s="297">
        <v>11.640211640211639</v>
      </c>
      <c r="Z7" s="297">
        <v>14.285714285714285</v>
      </c>
      <c r="AA7" s="297">
        <v>16.93121693121693</v>
      </c>
    </row>
    <row r="8" spans="1:27" ht="16.5" customHeight="1" thickTop="1">
      <c r="A8" s="193">
        <v>8</v>
      </c>
      <c r="B8" s="438" t="s">
        <v>152</v>
      </c>
      <c r="C8" s="238" t="s">
        <v>153</v>
      </c>
      <c r="D8" s="246"/>
      <c r="E8" s="246"/>
      <c r="F8" s="246"/>
      <c r="G8" s="246"/>
      <c r="H8" s="240"/>
      <c r="I8" s="240"/>
      <c r="J8" s="240"/>
      <c r="K8" s="240"/>
      <c r="L8" s="246"/>
      <c r="M8" s="240"/>
      <c r="N8" s="246"/>
      <c r="O8" s="240"/>
      <c r="P8" s="246"/>
      <c r="Q8" s="240"/>
      <c r="R8" s="242"/>
      <c r="U8" s="270" t="s">
        <v>193</v>
      </c>
      <c r="V8" s="296">
        <v>500000</v>
      </c>
      <c r="W8" s="296">
        <v>500000</v>
      </c>
      <c r="X8" s="296">
        <v>500000</v>
      </c>
      <c r="Y8" s="296">
        <v>500000</v>
      </c>
      <c r="Z8" s="296">
        <v>500000</v>
      </c>
      <c r="AA8" s="296">
        <v>500000</v>
      </c>
    </row>
    <row r="9" spans="1:27" ht="15.75">
      <c r="A9" s="194">
        <v>9</v>
      </c>
      <c r="B9" s="439"/>
      <c r="C9" s="201" t="s">
        <v>149</v>
      </c>
      <c r="D9" s="202"/>
      <c r="E9" s="202"/>
      <c r="F9" s="202"/>
      <c r="G9" s="202">
        <v>0.35</v>
      </c>
      <c r="H9" s="204"/>
      <c r="I9" s="204"/>
      <c r="J9" s="204"/>
      <c r="K9" s="204"/>
      <c r="L9" s="202">
        <v>0.35</v>
      </c>
      <c r="M9" s="209"/>
      <c r="N9" s="202">
        <v>0.35</v>
      </c>
      <c r="O9" s="209"/>
      <c r="P9" s="202">
        <v>0.35</v>
      </c>
      <c r="Q9" s="204"/>
      <c r="R9" s="201"/>
      <c r="U9" s="270" t="s">
        <v>208</v>
      </c>
      <c r="V9" s="307">
        <v>0.05</v>
      </c>
      <c r="W9" s="307">
        <v>0.05</v>
      </c>
      <c r="X9" s="307">
        <v>0.05</v>
      </c>
      <c r="Y9" s="307">
        <v>0.05</v>
      </c>
      <c r="Z9" s="307">
        <v>0.05</v>
      </c>
      <c r="AA9" s="307">
        <v>0.05</v>
      </c>
    </row>
    <row r="10" spans="1:27" ht="15.75">
      <c r="A10" s="194">
        <v>10</v>
      </c>
      <c r="B10" s="439"/>
      <c r="C10" s="201" t="s">
        <v>150</v>
      </c>
      <c r="D10" s="202"/>
      <c r="E10" s="202"/>
      <c r="F10" s="202"/>
      <c r="G10" s="202">
        <v>0.4</v>
      </c>
      <c r="H10" s="204"/>
      <c r="I10" s="204"/>
      <c r="J10" s="204"/>
      <c r="K10" s="204"/>
      <c r="L10" s="202">
        <v>0.4</v>
      </c>
      <c r="M10" s="209"/>
      <c r="N10" s="202">
        <v>0.4</v>
      </c>
      <c r="O10" s="209"/>
      <c r="P10" s="202">
        <v>0.4</v>
      </c>
      <c r="Q10" s="204"/>
      <c r="R10" s="201"/>
      <c r="U10" s="451"/>
      <c r="V10" s="452">
        <v>20000000</v>
      </c>
      <c r="W10" s="451" t="s">
        <v>202</v>
      </c>
      <c r="X10" s="451"/>
      <c r="Y10" s="451"/>
      <c r="Z10" s="451"/>
    </row>
    <row r="11" spans="1:27" ht="15.75">
      <c r="A11" s="194">
        <v>11</v>
      </c>
      <c r="B11" s="439"/>
      <c r="C11" s="201" t="s">
        <v>151</v>
      </c>
      <c r="D11" s="202"/>
      <c r="E11" s="202"/>
      <c r="F11" s="202"/>
      <c r="G11" s="202">
        <v>0.35</v>
      </c>
      <c r="H11" s="204"/>
      <c r="I11" s="204"/>
      <c r="J11" s="204"/>
      <c r="K11" s="204"/>
      <c r="L11" s="202">
        <v>0.35</v>
      </c>
      <c r="M11" s="209"/>
      <c r="N11" s="202">
        <v>0.35</v>
      </c>
      <c r="O11" s="209"/>
      <c r="P11" s="202">
        <v>0.35</v>
      </c>
      <c r="Q11" s="204"/>
      <c r="R11" s="201"/>
      <c r="U11" s="451"/>
      <c r="V11" s="451">
        <v>20</v>
      </c>
      <c r="W11" s="451" t="s">
        <v>207</v>
      </c>
      <c r="X11" s="451"/>
      <c r="Y11" s="451"/>
      <c r="Z11" s="451"/>
    </row>
    <row r="12" spans="1:27" ht="15.75">
      <c r="A12" s="194">
        <v>12</v>
      </c>
      <c r="B12" s="439"/>
      <c r="C12" s="263" t="s">
        <v>154</v>
      </c>
      <c r="D12" s="210"/>
      <c r="E12" s="210"/>
      <c r="F12" s="210"/>
      <c r="G12" s="210">
        <v>0.5</v>
      </c>
      <c r="H12" s="211"/>
      <c r="I12" s="211"/>
      <c r="J12" s="211"/>
      <c r="K12" s="211"/>
      <c r="L12" s="210">
        <v>0.5</v>
      </c>
      <c r="M12" s="212"/>
      <c r="N12" s="210">
        <v>0.5</v>
      </c>
      <c r="O12" s="212"/>
      <c r="P12" s="210">
        <v>0.5</v>
      </c>
      <c r="Q12" s="211"/>
      <c r="R12" s="213"/>
      <c r="U12" s="451"/>
      <c r="V12" s="451"/>
      <c r="W12" s="451"/>
      <c r="X12" s="451"/>
      <c r="Y12" s="451"/>
      <c r="Z12" s="451"/>
    </row>
    <row r="13" spans="1:27" ht="15.75">
      <c r="A13" s="194">
        <v>13</v>
      </c>
      <c r="B13" s="439"/>
      <c r="C13" s="195" t="s">
        <v>176</v>
      </c>
      <c r="D13" s="243"/>
      <c r="E13" s="243"/>
      <c r="F13" s="243"/>
      <c r="G13" s="243"/>
      <c r="H13" s="244"/>
      <c r="I13" s="244"/>
      <c r="J13" s="244"/>
      <c r="K13" s="244"/>
      <c r="L13" s="243"/>
      <c r="M13" s="244"/>
      <c r="N13" s="243"/>
      <c r="O13" s="244"/>
      <c r="P13" s="243"/>
      <c r="Q13" s="244"/>
      <c r="R13" s="245"/>
      <c r="U13" s="451"/>
      <c r="V13" s="451"/>
      <c r="W13" s="451"/>
      <c r="X13" s="451"/>
      <c r="Y13" s="451"/>
      <c r="Z13" s="451"/>
    </row>
    <row r="14" spans="1:27" ht="15.75">
      <c r="A14" s="194">
        <v>14</v>
      </c>
      <c r="B14" s="439"/>
      <c r="C14" s="201" t="s">
        <v>149</v>
      </c>
      <c r="D14" s="214"/>
      <c r="E14" s="214"/>
      <c r="F14" s="214"/>
      <c r="G14" s="214">
        <f>H5/G9</f>
        <v>31428.571428571431</v>
      </c>
      <c r="H14" s="204"/>
      <c r="I14" s="204"/>
      <c r="J14" s="204"/>
      <c r="K14" s="204"/>
      <c r="L14" s="214">
        <f>M5/L9</f>
        <v>32214.285714285717</v>
      </c>
      <c r="M14" s="205"/>
      <c r="N14" s="214">
        <f>O5/N9</f>
        <v>32214.285714285717</v>
      </c>
      <c r="O14" s="205"/>
      <c r="P14" s="214">
        <f>Q5/P9</f>
        <v>36000</v>
      </c>
      <c r="Q14" s="204"/>
      <c r="R14" s="201"/>
      <c r="U14" s="453">
        <f>V6/1000000*100</f>
        <v>2.5275215502806181</v>
      </c>
      <c r="V14" s="454" t="s">
        <v>194</v>
      </c>
      <c r="W14" s="451"/>
      <c r="X14" s="451"/>
      <c r="Y14" s="451"/>
      <c r="Z14" s="451"/>
    </row>
    <row r="15" spans="1:27" ht="15.75">
      <c r="A15" s="194">
        <v>15</v>
      </c>
      <c r="B15" s="439"/>
      <c r="C15" s="201" t="s">
        <v>150</v>
      </c>
      <c r="D15" s="214"/>
      <c r="E15" s="214"/>
      <c r="F15" s="214"/>
      <c r="G15" s="214">
        <f>H6/G10</f>
        <v>50000</v>
      </c>
      <c r="H15" s="204"/>
      <c r="I15" s="204"/>
      <c r="J15" s="204"/>
      <c r="K15" s="204"/>
      <c r="L15" s="214">
        <f>M6/L10</f>
        <v>51250</v>
      </c>
      <c r="M15" s="205"/>
      <c r="N15" s="214">
        <f>O6/N10</f>
        <v>51250</v>
      </c>
      <c r="O15" s="205"/>
      <c r="P15" s="214">
        <f>Q6/P10</f>
        <v>52500</v>
      </c>
      <c r="Q15" s="204"/>
      <c r="R15" s="201"/>
      <c r="U15" s="451"/>
      <c r="V15" s="451"/>
      <c r="W15" s="451"/>
      <c r="X15" s="451"/>
      <c r="Y15" s="451"/>
      <c r="Z15" s="451"/>
    </row>
    <row r="16" spans="1:27" ht="15.75">
      <c r="A16" s="194">
        <v>16</v>
      </c>
      <c r="B16" s="439"/>
      <c r="C16" s="263" t="s">
        <v>151</v>
      </c>
      <c r="D16" s="215"/>
      <c r="E16" s="215"/>
      <c r="F16" s="215"/>
      <c r="G16" s="215">
        <f>H7/G11</f>
        <v>0</v>
      </c>
      <c r="H16" s="211"/>
      <c r="I16" s="211"/>
      <c r="J16" s="211"/>
      <c r="K16" s="211"/>
      <c r="L16" s="215">
        <f>M7/L11</f>
        <v>0</v>
      </c>
      <c r="M16" s="216"/>
      <c r="N16" s="215">
        <f>O7/N11</f>
        <v>0</v>
      </c>
      <c r="O16" s="216"/>
      <c r="P16" s="215">
        <f>Q7/P11</f>
        <v>0</v>
      </c>
      <c r="Q16" s="211"/>
      <c r="R16" s="213"/>
      <c r="U16" s="451"/>
      <c r="V16" s="451"/>
      <c r="W16" s="451"/>
      <c r="X16" s="451"/>
      <c r="Y16" s="451"/>
      <c r="Z16" s="451"/>
    </row>
    <row r="17" spans="1:26" ht="15.75">
      <c r="A17" s="194">
        <v>17</v>
      </c>
      <c r="B17" s="439"/>
      <c r="C17" s="238" t="s">
        <v>155</v>
      </c>
      <c r="D17" s="247"/>
      <c r="E17" s="247"/>
      <c r="F17" s="247"/>
      <c r="G17" s="247" t="s">
        <v>156</v>
      </c>
      <c r="H17" s="248" t="s">
        <v>157</v>
      </c>
      <c r="I17" s="248" t="s">
        <v>158</v>
      </c>
      <c r="J17" s="249">
        <v>0.27777800000000002</v>
      </c>
      <c r="K17" s="248" t="s">
        <v>159</v>
      </c>
      <c r="L17" s="250"/>
      <c r="M17" s="240"/>
      <c r="N17" s="250"/>
      <c r="O17" s="240"/>
      <c r="P17" s="250"/>
      <c r="Q17" s="240"/>
      <c r="R17" s="242"/>
      <c r="U17" s="451"/>
      <c r="V17" s="451"/>
      <c r="W17" s="451"/>
      <c r="X17" s="451"/>
      <c r="Y17" s="451"/>
      <c r="Z17" s="451"/>
    </row>
    <row r="18" spans="1:26" ht="15.75">
      <c r="A18" s="194">
        <v>18</v>
      </c>
      <c r="B18" s="439"/>
      <c r="C18" s="201" t="s">
        <v>160</v>
      </c>
      <c r="D18" s="214"/>
      <c r="E18" s="214"/>
      <c r="F18" s="214"/>
      <c r="G18" s="214">
        <v>56100</v>
      </c>
      <c r="H18" s="217">
        <v>15583.345800000001</v>
      </c>
      <c r="I18" s="204"/>
      <c r="J18" s="204"/>
      <c r="K18" s="204"/>
      <c r="L18" s="214"/>
      <c r="M18" s="204"/>
      <c r="N18" s="214"/>
      <c r="O18" s="204"/>
      <c r="P18" s="214"/>
      <c r="Q18" s="204"/>
      <c r="R18" s="201"/>
      <c r="U18" s="451"/>
      <c r="V18" s="451"/>
      <c r="W18" s="451"/>
      <c r="X18" s="451"/>
      <c r="Y18" s="451"/>
      <c r="Z18" s="451"/>
    </row>
    <row r="19" spans="1:26" ht="15.75">
      <c r="A19" s="194">
        <v>19</v>
      </c>
      <c r="B19" s="439"/>
      <c r="C19" s="201" t="s">
        <v>149</v>
      </c>
      <c r="D19" s="214"/>
      <c r="E19" s="214"/>
      <c r="F19" s="214"/>
      <c r="G19" s="214">
        <v>94600</v>
      </c>
      <c r="H19" s="217">
        <v>26277.798800000004</v>
      </c>
      <c r="I19" s="204"/>
      <c r="J19" s="204"/>
      <c r="K19" s="204"/>
      <c r="L19" s="214"/>
      <c r="M19" s="204"/>
      <c r="N19" s="214"/>
      <c r="O19" s="204"/>
      <c r="P19" s="214"/>
      <c r="Q19" s="204"/>
      <c r="R19" s="201"/>
      <c r="U19" s="455">
        <v>10000000000</v>
      </c>
      <c r="V19" s="451" t="s">
        <v>195</v>
      </c>
      <c r="W19" s="455">
        <f>U19/1000000</f>
        <v>10000</v>
      </c>
      <c r="X19" s="451" t="s">
        <v>196</v>
      </c>
      <c r="Y19" s="453">
        <f>W19/0.09473</f>
        <v>105563.17956296845</v>
      </c>
      <c r="Z19" s="451" t="s">
        <v>159</v>
      </c>
    </row>
    <row r="20" spans="1:26" ht="15.75">
      <c r="A20" s="194">
        <v>20</v>
      </c>
      <c r="B20" s="439"/>
      <c r="C20" s="201" t="s">
        <v>161</v>
      </c>
      <c r="D20" s="214"/>
      <c r="E20" s="214"/>
      <c r="F20" s="214"/>
      <c r="G20" s="214">
        <v>77400</v>
      </c>
      <c r="H20" s="217">
        <v>21500.017200000002</v>
      </c>
      <c r="I20" s="204"/>
      <c r="J20" s="204"/>
      <c r="K20" s="204"/>
      <c r="L20" s="214"/>
      <c r="M20" s="204"/>
      <c r="N20" s="214"/>
      <c r="O20" s="204"/>
      <c r="P20" s="214"/>
      <c r="Q20" s="218"/>
      <c r="R20" s="201"/>
      <c r="U20" s="455"/>
      <c r="V20" s="451"/>
      <c r="W20" s="451"/>
      <c r="X20" s="451"/>
      <c r="Y20" s="451"/>
      <c r="Z20" s="451"/>
    </row>
    <row r="21" spans="1:26" ht="15.75">
      <c r="A21" s="194">
        <v>21</v>
      </c>
      <c r="B21" s="439"/>
      <c r="C21" s="263" t="s">
        <v>151</v>
      </c>
      <c r="D21" s="215"/>
      <c r="E21" s="215"/>
      <c r="F21" s="215"/>
      <c r="G21" s="215">
        <v>101000</v>
      </c>
      <c r="H21" s="219">
        <v>28055.578000000001</v>
      </c>
      <c r="I21" s="211"/>
      <c r="J21" s="211"/>
      <c r="K21" s="211"/>
      <c r="L21" s="215"/>
      <c r="M21" s="211"/>
      <c r="N21" s="215"/>
      <c r="O21" s="211"/>
      <c r="P21" s="215"/>
      <c r="Q21" s="211"/>
      <c r="R21" s="213"/>
      <c r="U21" s="455">
        <v>100000</v>
      </c>
      <c r="V21" s="451" t="s">
        <v>197</v>
      </c>
      <c r="W21" s="451"/>
      <c r="X21" s="451"/>
      <c r="Y21" s="451"/>
      <c r="Z21" s="451"/>
    </row>
    <row r="22" spans="1:26" ht="15.75">
      <c r="A22" s="194">
        <v>22</v>
      </c>
      <c r="B22" s="439"/>
      <c r="C22" s="195" t="s">
        <v>162</v>
      </c>
      <c r="D22" s="243"/>
      <c r="E22" s="243"/>
      <c r="F22" s="243"/>
      <c r="G22" s="243"/>
      <c r="H22" s="244"/>
      <c r="I22" s="244"/>
      <c r="J22" s="244"/>
      <c r="K22" s="244"/>
      <c r="L22" s="243"/>
      <c r="M22" s="244"/>
      <c r="N22" s="243"/>
      <c r="O22" s="244"/>
      <c r="P22" s="243"/>
      <c r="Q22" s="244"/>
      <c r="R22" s="245"/>
      <c r="U22" s="451" t="s">
        <v>198</v>
      </c>
      <c r="V22" s="451">
        <f>U21/Y19</f>
        <v>0.94729999999999992</v>
      </c>
      <c r="W22" s="451" t="s">
        <v>197</v>
      </c>
      <c r="X22" s="451"/>
      <c r="Y22" s="451"/>
      <c r="Z22" s="451"/>
    </row>
    <row r="23" spans="1:26" ht="15.75">
      <c r="A23" s="194">
        <v>23</v>
      </c>
      <c r="B23" s="439"/>
      <c r="C23" s="201" t="s">
        <v>149</v>
      </c>
      <c r="D23" s="220"/>
      <c r="E23" s="220"/>
      <c r="F23" s="220"/>
      <c r="G23" s="220">
        <f>G14*H19/1000</f>
        <v>825873.67657142878</v>
      </c>
      <c r="H23" s="204"/>
      <c r="I23" s="204"/>
      <c r="J23" s="204"/>
      <c r="K23" s="204"/>
      <c r="L23" s="220">
        <f>L14*$H$19/1000</f>
        <v>846520.51848571457</v>
      </c>
      <c r="M23" s="221"/>
      <c r="N23" s="220">
        <f>N14*$H$19/1000</f>
        <v>846520.51848571457</v>
      </c>
      <c r="O23" s="221"/>
      <c r="P23" s="220">
        <f>P14*$H$19/1000</f>
        <v>946000.75680000021</v>
      </c>
      <c r="Q23" s="204"/>
      <c r="R23" s="201"/>
      <c r="U23" s="451"/>
      <c r="V23" s="451"/>
      <c r="W23" s="451"/>
      <c r="X23" s="451"/>
      <c r="Y23" s="451"/>
      <c r="Z23" s="451"/>
    </row>
    <row r="24" spans="1:26" ht="15.75">
      <c r="A24" s="194">
        <v>24</v>
      </c>
      <c r="B24" s="439"/>
      <c r="C24" s="201" t="s">
        <v>161</v>
      </c>
      <c r="D24" s="220"/>
      <c r="E24" s="220"/>
      <c r="F24" s="220"/>
      <c r="G24" s="220">
        <f>G15*H20/1000</f>
        <v>1075000.8600000001</v>
      </c>
      <c r="H24" s="204"/>
      <c r="I24" s="204"/>
      <c r="J24" s="204"/>
      <c r="K24" s="204"/>
      <c r="L24" s="220">
        <f>L15*$H$20/1000</f>
        <v>1101875.8814999999</v>
      </c>
      <c r="M24" s="221"/>
      <c r="N24" s="220">
        <f>N15*$H$20/1000</f>
        <v>1101875.8814999999</v>
      </c>
      <c r="O24" s="221"/>
      <c r="P24" s="220">
        <f>P15*$H$20/1000</f>
        <v>1128750.9029999999</v>
      </c>
      <c r="Q24" s="204"/>
      <c r="R24" s="201"/>
      <c r="U24" s="451"/>
      <c r="V24" s="451"/>
      <c r="W24" s="451"/>
      <c r="X24" s="451"/>
      <c r="Y24" s="451"/>
      <c r="Z24" s="451"/>
    </row>
    <row r="25" spans="1:26" ht="15.75">
      <c r="A25" s="194">
        <v>25</v>
      </c>
      <c r="B25" s="439"/>
      <c r="C25" s="213" t="s">
        <v>151</v>
      </c>
      <c r="D25" s="222"/>
      <c r="E25" s="222"/>
      <c r="F25" s="222"/>
      <c r="G25" s="222">
        <f>G16*H21/1000</f>
        <v>0</v>
      </c>
      <c r="H25" s="211"/>
      <c r="I25" s="211"/>
      <c r="J25" s="211"/>
      <c r="K25" s="211"/>
      <c r="L25" s="222">
        <f>L16*$H$21/1000</f>
        <v>0</v>
      </c>
      <c r="M25" s="223"/>
      <c r="N25" s="222">
        <f>N16*$H$21/1000</f>
        <v>0</v>
      </c>
      <c r="O25" s="223"/>
      <c r="P25" s="222">
        <f>P16*$H$21/1000</f>
        <v>0</v>
      </c>
      <c r="Q25" s="211"/>
      <c r="R25" s="213"/>
      <c r="U25" s="451"/>
      <c r="V25" s="451"/>
      <c r="W25" s="451"/>
      <c r="X25" s="451"/>
      <c r="Y25" s="451"/>
      <c r="Z25" s="451"/>
    </row>
    <row r="26" spans="1:26" ht="16.5" thickBot="1">
      <c r="A26" s="194">
        <v>26</v>
      </c>
      <c r="B26" s="440"/>
      <c r="C26" s="197" t="s">
        <v>163</v>
      </c>
      <c r="D26" s="198"/>
      <c r="E26" s="198"/>
      <c r="F26" s="198"/>
      <c r="G26" s="198">
        <f>SUM(G23:G25)</f>
        <v>1900874.5365714289</v>
      </c>
      <c r="H26" s="252"/>
      <c r="I26" s="252"/>
      <c r="J26" s="252"/>
      <c r="K26" s="252"/>
      <c r="L26" s="198">
        <f>SUM(L23:L25)</f>
        <v>1948396.3999857143</v>
      </c>
      <c r="M26" s="253"/>
      <c r="N26" s="198">
        <f>SUM(N23:N25)</f>
        <v>1948396.3999857143</v>
      </c>
      <c r="O26" s="253"/>
      <c r="P26" s="198">
        <f>SUM(P23:P25)</f>
        <v>2074751.6598</v>
      </c>
      <c r="Q26" s="252"/>
      <c r="R26" s="251"/>
      <c r="U26" s="451"/>
      <c r="V26" s="451"/>
      <c r="W26" s="451"/>
      <c r="X26" s="451"/>
      <c r="Y26" s="451"/>
      <c r="Z26" s="451"/>
    </row>
    <row r="27" spans="1:26" ht="16.5" customHeight="1" thickTop="1">
      <c r="A27" s="194">
        <v>27</v>
      </c>
      <c r="B27" s="438" t="s">
        <v>164</v>
      </c>
      <c r="C27" s="195" t="s">
        <v>165</v>
      </c>
      <c r="D27" s="254"/>
      <c r="E27" s="254"/>
      <c r="F27" s="254"/>
      <c r="G27" s="254"/>
      <c r="H27" s="244"/>
      <c r="I27" s="244"/>
      <c r="J27" s="244"/>
      <c r="K27" s="244"/>
      <c r="L27" s="254"/>
      <c r="M27" s="244"/>
      <c r="N27" s="254"/>
      <c r="O27" s="244"/>
      <c r="P27" s="254"/>
      <c r="Q27" s="244"/>
      <c r="R27" s="245"/>
      <c r="U27" s="451"/>
      <c r="V27" s="451"/>
      <c r="W27" s="451"/>
      <c r="X27" s="451"/>
      <c r="Y27" s="451"/>
      <c r="Z27" s="451"/>
    </row>
    <row r="28" spans="1:26" ht="15.75">
      <c r="A28" s="194">
        <v>28</v>
      </c>
      <c r="B28" s="439"/>
      <c r="C28" s="201" t="s">
        <v>149</v>
      </c>
      <c r="D28" s="214"/>
      <c r="E28" s="214"/>
      <c r="F28" s="214"/>
      <c r="G28" s="214">
        <f>H5/$G$12</f>
        <v>22000</v>
      </c>
      <c r="H28" s="204"/>
      <c r="I28" s="204"/>
      <c r="J28" s="204"/>
      <c r="K28" s="204"/>
      <c r="L28" s="214">
        <f>M5/$L$12</f>
        <v>22550</v>
      </c>
      <c r="M28" s="204"/>
      <c r="N28" s="214">
        <f>O5/$N$12</f>
        <v>22550</v>
      </c>
      <c r="O28" s="204"/>
      <c r="P28" s="214">
        <f>Q5/$P$12</f>
        <v>25200</v>
      </c>
      <c r="Q28" s="218"/>
      <c r="R28" s="201"/>
      <c r="U28" s="451"/>
      <c r="V28" s="451"/>
      <c r="W28" s="451"/>
      <c r="X28" s="451"/>
      <c r="Y28" s="451"/>
      <c r="Z28" s="451"/>
    </row>
    <row r="29" spans="1:26" ht="15.75">
      <c r="A29" s="194">
        <v>29</v>
      </c>
      <c r="B29" s="439"/>
      <c r="C29" s="201" t="s">
        <v>150</v>
      </c>
      <c r="D29" s="214"/>
      <c r="E29" s="214"/>
      <c r="F29" s="214"/>
      <c r="G29" s="214">
        <f>H6/$G$12</f>
        <v>40000</v>
      </c>
      <c r="H29" s="204"/>
      <c r="I29" s="204"/>
      <c r="J29" s="204"/>
      <c r="K29" s="204"/>
      <c r="L29" s="214">
        <f>M6/$L$12</f>
        <v>41000</v>
      </c>
      <c r="M29" s="204"/>
      <c r="N29" s="214">
        <f>O6/$N$12</f>
        <v>41000</v>
      </c>
      <c r="O29" s="204"/>
      <c r="P29" s="214">
        <f>Q6/$P$12</f>
        <v>42000</v>
      </c>
      <c r="Q29" s="204"/>
      <c r="R29" s="201"/>
      <c r="U29" s="451"/>
      <c r="V29" s="451"/>
      <c r="W29" s="451"/>
      <c r="X29" s="451"/>
      <c r="Y29" s="451"/>
      <c r="Z29" s="451"/>
    </row>
    <row r="30" spans="1:26" ht="15.75">
      <c r="A30" s="194">
        <v>30</v>
      </c>
      <c r="B30" s="439"/>
      <c r="C30" s="263" t="s">
        <v>151</v>
      </c>
      <c r="D30" s="215"/>
      <c r="E30" s="215"/>
      <c r="F30" s="215"/>
      <c r="G30" s="215">
        <f>H7/$G$12</f>
        <v>0</v>
      </c>
      <c r="H30" s="211"/>
      <c r="I30" s="211"/>
      <c r="J30" s="211"/>
      <c r="K30" s="211"/>
      <c r="L30" s="215">
        <f>M7/$L$12</f>
        <v>0</v>
      </c>
      <c r="M30" s="211"/>
      <c r="N30" s="215">
        <f>O7/$N$12</f>
        <v>0</v>
      </c>
      <c r="O30" s="211"/>
      <c r="P30" s="215">
        <f>Q7/$P$12</f>
        <v>0</v>
      </c>
      <c r="Q30" s="211"/>
      <c r="R30" s="213"/>
      <c r="U30" s="451">
        <v>20000</v>
      </c>
      <c r="V30" s="451" t="s">
        <v>199</v>
      </c>
      <c r="W30" s="451"/>
      <c r="X30" s="451"/>
      <c r="Y30" s="451"/>
      <c r="Z30" s="451"/>
    </row>
    <row r="31" spans="1:26" ht="15.75">
      <c r="A31" s="194">
        <v>31</v>
      </c>
      <c r="B31" s="439"/>
      <c r="C31" s="267" t="s">
        <v>166</v>
      </c>
      <c r="D31" s="255"/>
      <c r="E31" s="255"/>
      <c r="F31" s="255"/>
      <c r="G31" s="255">
        <f>Indicators!J61</f>
        <v>36500</v>
      </c>
      <c r="H31" s="256"/>
      <c r="I31" s="256"/>
      <c r="J31" s="256"/>
      <c r="K31" s="256"/>
      <c r="L31" s="255">
        <f>Indicators!P240</f>
        <v>1400</v>
      </c>
      <c r="M31" s="256"/>
      <c r="N31" s="255">
        <f>Indicators!P241</f>
        <v>18300</v>
      </c>
      <c r="O31" s="256"/>
      <c r="P31" s="255">
        <f>Indicators!P242</f>
        <v>18300</v>
      </c>
      <c r="Q31" s="256"/>
      <c r="R31" s="257"/>
      <c r="U31" s="451">
        <v>0.84635000000000005</v>
      </c>
      <c r="V31" s="451" t="s">
        <v>200</v>
      </c>
      <c r="W31" s="451"/>
      <c r="X31" s="451"/>
      <c r="Y31" s="451"/>
      <c r="Z31" s="451"/>
    </row>
    <row r="32" spans="1:26" ht="15.75">
      <c r="A32" s="194">
        <v>32</v>
      </c>
      <c r="B32" s="439"/>
      <c r="C32" s="199" t="s">
        <v>167</v>
      </c>
      <c r="D32" s="254"/>
      <c r="E32" s="254"/>
      <c r="F32" s="254"/>
      <c r="G32" s="254"/>
      <c r="H32" s="244"/>
      <c r="I32" s="244"/>
      <c r="J32" s="244"/>
      <c r="K32" s="244"/>
      <c r="L32" s="254"/>
      <c r="M32" s="244"/>
      <c r="N32" s="254"/>
      <c r="O32" s="244"/>
      <c r="P32" s="254"/>
      <c r="Q32" s="244"/>
      <c r="R32" s="245"/>
      <c r="U32" s="451">
        <f>U30/U31</f>
        <v>23630.885567436639</v>
      </c>
      <c r="V32" s="451" t="s">
        <v>201</v>
      </c>
      <c r="W32" s="451"/>
      <c r="X32" s="451"/>
      <c r="Y32" s="451"/>
      <c r="Z32" s="451"/>
    </row>
    <row r="33" spans="1:26" ht="15.75">
      <c r="A33" s="194">
        <v>33</v>
      </c>
      <c r="B33" s="439"/>
      <c r="C33" s="224" t="s">
        <v>149</v>
      </c>
      <c r="D33" s="225"/>
      <c r="E33" s="225"/>
      <c r="F33" s="225"/>
      <c r="G33" s="225">
        <f>G28*2/3</f>
        <v>14666.666666666666</v>
      </c>
      <c r="H33" s="204"/>
      <c r="I33" s="204"/>
      <c r="J33" s="204"/>
      <c r="K33" s="204"/>
      <c r="L33" s="225">
        <f>L28*2/3</f>
        <v>15033.333333333334</v>
      </c>
      <c r="M33" s="204"/>
      <c r="N33" s="225">
        <f>N28*2/3</f>
        <v>15033.333333333334</v>
      </c>
      <c r="O33" s="204"/>
      <c r="P33" s="225">
        <f>P28*2/3</f>
        <v>16800</v>
      </c>
      <c r="Q33" s="204"/>
      <c r="R33" s="201"/>
      <c r="U33" s="451">
        <f>U32*1000</f>
        <v>23630885.567436639</v>
      </c>
      <c r="V33" s="451" t="s">
        <v>202</v>
      </c>
      <c r="W33" s="451"/>
      <c r="X33" s="451"/>
      <c r="Y33" s="451"/>
      <c r="Z33" s="451"/>
    </row>
    <row r="34" spans="1:26" ht="15.75">
      <c r="A34" s="194">
        <v>34</v>
      </c>
      <c r="B34" s="439"/>
      <c r="C34" s="224" t="s">
        <v>161</v>
      </c>
      <c r="D34" s="214"/>
      <c r="E34" s="214"/>
      <c r="F34" s="214"/>
      <c r="G34" s="214">
        <f>G29*2/3</f>
        <v>26666.666666666668</v>
      </c>
      <c r="H34" s="204"/>
      <c r="I34" s="204"/>
      <c r="J34" s="204"/>
      <c r="K34" s="204"/>
      <c r="L34" s="225">
        <f>L29*2/3</f>
        <v>27333.333333333332</v>
      </c>
      <c r="M34" s="204"/>
      <c r="N34" s="225">
        <f>N29*2/3</f>
        <v>27333.333333333332</v>
      </c>
      <c r="O34" s="204"/>
      <c r="P34" s="225">
        <f>P29*2/3</f>
        <v>28000</v>
      </c>
      <c r="Q34" s="204"/>
      <c r="R34" s="201"/>
      <c r="U34" s="456">
        <f>U33/1000000</f>
        <v>23.630885567436639</v>
      </c>
      <c r="V34" s="451" t="s">
        <v>198</v>
      </c>
      <c r="W34" s="451"/>
      <c r="X34" s="451"/>
      <c r="Y34" s="451"/>
      <c r="Z34" s="451"/>
    </row>
    <row r="35" spans="1:26" ht="15.75">
      <c r="A35" s="194">
        <v>35</v>
      </c>
      <c r="B35" s="439"/>
      <c r="C35" s="213" t="s">
        <v>151</v>
      </c>
      <c r="D35" s="215"/>
      <c r="E35" s="215"/>
      <c r="F35" s="215"/>
      <c r="G35" s="215">
        <f>G30*2/3</f>
        <v>0</v>
      </c>
      <c r="H35" s="211"/>
      <c r="I35" s="211"/>
      <c r="J35" s="211"/>
      <c r="K35" s="211"/>
      <c r="L35" s="226">
        <f>L30*2/3</f>
        <v>0</v>
      </c>
      <c r="M35" s="211"/>
      <c r="N35" s="226">
        <f>N30*2/3</f>
        <v>0</v>
      </c>
      <c r="O35" s="211"/>
      <c r="P35" s="226">
        <f>P30*2/3</f>
        <v>0</v>
      </c>
      <c r="Q35" s="211"/>
      <c r="R35" s="213"/>
      <c r="U35" s="451"/>
      <c r="V35" s="451"/>
      <c r="W35" s="451"/>
      <c r="X35" s="451"/>
      <c r="Y35" s="451"/>
      <c r="Z35" s="451"/>
    </row>
    <row r="36" spans="1:26" ht="15.75">
      <c r="A36" s="194">
        <v>36</v>
      </c>
      <c r="B36" s="439"/>
      <c r="C36" s="199" t="s">
        <v>177</v>
      </c>
      <c r="D36" s="254"/>
      <c r="E36" s="254"/>
      <c r="F36" s="254"/>
      <c r="G36" s="254"/>
      <c r="H36" s="244"/>
      <c r="I36" s="244"/>
      <c r="J36" s="244"/>
      <c r="K36" s="258"/>
      <c r="L36" s="254"/>
      <c r="M36" s="244"/>
      <c r="N36" s="254"/>
      <c r="O36" s="244"/>
      <c r="P36" s="254"/>
      <c r="Q36" s="259"/>
      <c r="R36" s="245"/>
    </row>
    <row r="37" spans="1:26" ht="15.75">
      <c r="A37" s="194">
        <v>37</v>
      </c>
      <c r="B37" s="439"/>
      <c r="C37" s="224" t="s">
        <v>149</v>
      </c>
      <c r="D37" s="264"/>
      <c r="E37" s="264"/>
      <c r="F37" s="264"/>
      <c r="G37" s="264">
        <f>IF(G33&gt;=(G31-G39),(G31-G39),G33)</f>
        <v>14666.666666666666</v>
      </c>
      <c r="H37" s="204"/>
      <c r="I37" s="290"/>
      <c r="J37" s="204"/>
      <c r="K37" s="227"/>
      <c r="L37" s="264">
        <f>IF(L33&gt;=(L31-L39),(L31-L39),L33)</f>
        <v>1400</v>
      </c>
      <c r="M37" s="204"/>
      <c r="N37" s="264">
        <f>IF(N33&gt;=(N31-N39),(N31-N39),N33)</f>
        <v>15033.333333333334</v>
      </c>
      <c r="O37" s="204"/>
      <c r="P37" s="264">
        <f>IF(P33&gt;=(P31-P39),(P31-P39),P33)</f>
        <v>16800</v>
      </c>
      <c r="Q37" s="228"/>
      <c r="R37" s="201"/>
    </row>
    <row r="38" spans="1:26" ht="15.75">
      <c r="A38" s="194">
        <v>38</v>
      </c>
      <c r="B38" s="439"/>
      <c r="C38" s="229" t="s">
        <v>161</v>
      </c>
      <c r="D38" s="265"/>
      <c r="E38" s="265"/>
      <c r="F38" s="265"/>
      <c r="G38" s="265">
        <f>IF(G34&gt;=(G31-G39-G37),(G31-G39-G37),G34)</f>
        <v>21833.333333333336</v>
      </c>
      <c r="H38" s="230"/>
      <c r="I38" s="291"/>
      <c r="J38" s="230"/>
      <c r="K38" s="231"/>
      <c r="L38" s="265">
        <f>IF(L34&gt;=(L31-L39-L37),(L31-L39-L37),L34)</f>
        <v>0</v>
      </c>
      <c r="M38" s="231"/>
      <c r="N38" s="265">
        <f>IF(N34&gt;=(N31-N39-N37),(N31-N39-N37),N34)</f>
        <v>3266.6666666666661</v>
      </c>
      <c r="O38" s="230"/>
      <c r="P38" s="264">
        <f>IF(P34&gt;=(P31-P39-P37),(P31-P39-P37),P34)</f>
        <v>1500</v>
      </c>
      <c r="Q38" s="228"/>
      <c r="R38" s="201"/>
    </row>
    <row r="39" spans="1:26" ht="16.5" thickBot="1">
      <c r="A39" s="194">
        <v>39</v>
      </c>
      <c r="B39" s="440"/>
      <c r="C39" s="206" t="s">
        <v>168</v>
      </c>
      <c r="D39" s="266"/>
      <c r="E39" s="266"/>
      <c r="F39" s="266"/>
      <c r="G39" s="266">
        <f>IF(G35&gt;=G31,G31,G35)</f>
        <v>0</v>
      </c>
      <c r="H39" s="208"/>
      <c r="I39" s="292"/>
      <c r="J39" s="208"/>
      <c r="K39" s="232"/>
      <c r="L39" s="266">
        <f>IF(L35&gt;=L31,L31,L35)</f>
        <v>0</v>
      </c>
      <c r="M39" s="208"/>
      <c r="N39" s="266">
        <f>IF(N35&gt;=N31,N31,N35)</f>
        <v>0</v>
      </c>
      <c r="O39" s="208"/>
      <c r="P39" s="266">
        <f>IF(P35&gt;=P31,P31,P35)</f>
        <v>0</v>
      </c>
      <c r="Q39" s="233"/>
      <c r="R39" s="206"/>
    </row>
    <row r="40" spans="1:26" ht="16.5" customHeight="1" thickTop="1">
      <c r="A40" s="194">
        <v>40</v>
      </c>
      <c r="B40" s="438" t="s">
        <v>169</v>
      </c>
      <c r="C40" s="275" t="s">
        <v>178</v>
      </c>
      <c r="D40" s="243"/>
      <c r="E40" s="243"/>
      <c r="F40" s="243"/>
      <c r="G40" s="243"/>
      <c r="H40" s="244"/>
      <c r="I40" s="244"/>
      <c r="J40" s="244"/>
      <c r="K40" s="244"/>
      <c r="L40" s="243"/>
      <c r="M40" s="244"/>
      <c r="N40" s="243"/>
      <c r="O40" s="244"/>
      <c r="P40" s="243"/>
      <c r="Q40" s="244"/>
      <c r="R40" s="245"/>
    </row>
    <row r="41" spans="1:26" ht="15.75">
      <c r="A41" s="194">
        <v>41</v>
      </c>
      <c r="B41" s="439"/>
      <c r="C41" s="229" t="s">
        <v>149</v>
      </c>
      <c r="D41" s="214"/>
      <c r="E41" s="214"/>
      <c r="F41" s="214"/>
      <c r="G41" s="214">
        <f>IF(G5=0,0,(G28-G37)/G28*G14)</f>
        <v>10476.190476190479</v>
      </c>
      <c r="H41" s="204"/>
      <c r="I41" s="204"/>
      <c r="J41" s="204"/>
      <c r="K41" s="204"/>
      <c r="L41" s="214">
        <f>IF(L5=0,0,(L28-L37)/L28*L14)</f>
        <v>30214.285714285717</v>
      </c>
      <c r="M41" s="204"/>
      <c r="N41" s="214">
        <f>IF(N5=0,0,(N28-N37)/N28*N14)</f>
        <v>10738.095238095239</v>
      </c>
      <c r="O41" s="204"/>
      <c r="P41" s="214">
        <f>IF(P5=0,0,(P28-P37)/P28*P14)</f>
        <v>12000</v>
      </c>
      <c r="Q41" s="204"/>
      <c r="R41" s="201"/>
    </row>
    <row r="42" spans="1:26" ht="15.75">
      <c r="A42" s="194">
        <v>42</v>
      </c>
      <c r="B42" s="439"/>
      <c r="C42" s="229" t="s">
        <v>161</v>
      </c>
      <c r="D42" s="214"/>
      <c r="E42" s="214"/>
      <c r="F42" s="214"/>
      <c r="G42" s="214">
        <f>IF(G6=0,0,(G29-G38)/G29*G15)</f>
        <v>22708.333333333332</v>
      </c>
      <c r="H42" s="204"/>
      <c r="I42" s="204"/>
      <c r="J42" s="204"/>
      <c r="K42" s="204"/>
      <c r="L42" s="214">
        <f>IF(L6=0,0,(L29-L38)/L29*L15)</f>
        <v>51250</v>
      </c>
      <c r="M42" s="204"/>
      <c r="N42" s="214">
        <f>IF(N6=0,0,(N29-N38)/N29*N15)</f>
        <v>47166.666666666672</v>
      </c>
      <c r="O42" s="204"/>
      <c r="P42" s="214">
        <f>IF(P6=0,0,(P29-P38)/P29*P15)</f>
        <v>50625</v>
      </c>
      <c r="Q42" s="204"/>
      <c r="R42" s="201"/>
    </row>
    <row r="43" spans="1:26" ht="15.75">
      <c r="A43" s="194">
        <v>43</v>
      </c>
      <c r="B43" s="439"/>
      <c r="C43" s="229" t="s">
        <v>151</v>
      </c>
      <c r="D43" s="214"/>
      <c r="E43" s="214"/>
      <c r="F43" s="214"/>
      <c r="G43" s="214">
        <f>IF(G7=0,0,(G30-G39)/G30*G16)</f>
        <v>0</v>
      </c>
      <c r="H43" s="204"/>
      <c r="I43" s="204"/>
      <c r="J43" s="218"/>
      <c r="K43" s="204"/>
      <c r="L43" s="214">
        <f>IF(L7=0,0,(L30-L39)/L30*L16)</f>
        <v>0</v>
      </c>
      <c r="M43" s="204"/>
      <c r="N43" s="214">
        <f>IF(N7=0,0,(N30-N39)/N30*N16)</f>
        <v>0</v>
      </c>
      <c r="O43" s="204"/>
      <c r="P43" s="214">
        <f>IF(P7=0,0,(P30-P39)/P30*P16)</f>
        <v>0</v>
      </c>
      <c r="Q43" s="204"/>
      <c r="R43" s="201"/>
    </row>
    <row r="44" spans="1:26" ht="15.75">
      <c r="A44" s="194">
        <v>44</v>
      </c>
      <c r="B44" s="439"/>
      <c r="C44" s="263" t="s">
        <v>154</v>
      </c>
      <c r="D44" s="215"/>
      <c r="E44" s="215"/>
      <c r="F44" s="215"/>
      <c r="G44" s="215">
        <f>SUM(G37:G39)</f>
        <v>36500</v>
      </c>
      <c r="H44" s="234" t="str">
        <f>IF((G41*G9+G42*G10+G43*G11+G44*G12)=SUM(H5:H7),"OK","ERROR")</f>
        <v>OK</v>
      </c>
      <c r="I44" s="211"/>
      <c r="J44" s="235"/>
      <c r="K44" s="211"/>
      <c r="L44" s="215">
        <f>SUM(L37:L39)</f>
        <v>1400</v>
      </c>
      <c r="M44" s="234" t="str">
        <f>IF((L41*L9+L42*L10+L43*L11+L44*L12)=SUM(M5:M7),"OK","ERROR")</f>
        <v>OK</v>
      </c>
      <c r="N44" s="215">
        <f>SUM(N37:N39)</f>
        <v>18300</v>
      </c>
      <c r="O44" s="234" t="str">
        <f>IF((N41*N9+N42*N10+N43*N11+N44*N12)=SUM(O5:O7),"OK","ERROR")</f>
        <v>OK</v>
      </c>
      <c r="P44" s="215">
        <f>SUM(P37:P39)</f>
        <v>18300</v>
      </c>
      <c r="Q44" s="234" t="str">
        <f>IF((P41*P9+P42*P10+P43*P11+P44*P12)=SUM(Q5:Q7),"OK","ERROR")</f>
        <v>OK</v>
      </c>
      <c r="R44" s="213"/>
    </row>
    <row r="45" spans="1:26" ht="15.75">
      <c r="A45" s="194">
        <v>45</v>
      </c>
      <c r="B45" s="439"/>
      <c r="C45" s="275" t="s">
        <v>179</v>
      </c>
      <c r="D45" s="243"/>
      <c r="E45" s="243"/>
      <c r="F45" s="243"/>
      <c r="G45" s="243"/>
      <c r="H45" s="244"/>
      <c r="I45" s="244"/>
      <c r="J45" s="244"/>
      <c r="K45" s="244"/>
      <c r="L45" s="243"/>
      <c r="M45" s="244"/>
      <c r="N45" s="243"/>
      <c r="O45" s="244"/>
      <c r="P45" s="243"/>
      <c r="Q45" s="244"/>
      <c r="R45" s="245"/>
    </row>
    <row r="46" spans="1:26" ht="15.75">
      <c r="A46" s="194">
        <v>46</v>
      </c>
      <c r="B46" s="439"/>
      <c r="C46" s="229" t="s">
        <v>149</v>
      </c>
      <c r="D46" s="236"/>
      <c r="E46" s="236"/>
      <c r="F46" s="236"/>
      <c r="G46" s="236">
        <f>G41*$H19/1000</f>
        <v>275291.22552380961</v>
      </c>
      <c r="H46" s="204"/>
      <c r="I46" s="204"/>
      <c r="J46" s="204"/>
      <c r="K46" s="204"/>
      <c r="L46" s="236">
        <f>L41*$H19/1000</f>
        <v>793964.92088571459</v>
      </c>
      <c r="M46" s="204"/>
      <c r="N46" s="236">
        <f>N41*$H19/1000</f>
        <v>282173.50616190484</v>
      </c>
      <c r="O46" s="218"/>
      <c r="P46" s="236">
        <f>P41*$H19/1000</f>
        <v>315333.58560000005</v>
      </c>
      <c r="Q46" s="204"/>
      <c r="R46" s="201"/>
    </row>
    <row r="47" spans="1:26" ht="15.75">
      <c r="A47" s="194">
        <v>47</v>
      </c>
      <c r="B47" s="439"/>
      <c r="C47" s="229" t="s">
        <v>161</v>
      </c>
      <c r="D47" s="236"/>
      <c r="E47" s="236"/>
      <c r="F47" s="236"/>
      <c r="G47" s="236">
        <f>G42*$H20/1000</f>
        <v>488229.55725000001</v>
      </c>
      <c r="H47" s="204"/>
      <c r="I47" s="204"/>
      <c r="J47" s="204"/>
      <c r="K47" s="204"/>
      <c r="L47" s="236">
        <f>L42*$H20/1000</f>
        <v>1101875.8814999999</v>
      </c>
      <c r="M47" s="204"/>
      <c r="N47" s="236">
        <f>N42*$H20/1000</f>
        <v>1014084.1446000001</v>
      </c>
      <c r="O47" s="204"/>
      <c r="P47" s="236">
        <f>P42*$H20/1000</f>
        <v>1088438.37075</v>
      </c>
      <c r="Q47" s="204"/>
      <c r="R47" s="201"/>
    </row>
    <row r="48" spans="1:26" ht="15.75">
      <c r="A48" s="194">
        <v>48</v>
      </c>
      <c r="B48" s="439"/>
      <c r="C48" s="229" t="s">
        <v>151</v>
      </c>
      <c r="D48" s="236"/>
      <c r="E48" s="236"/>
      <c r="F48" s="236"/>
      <c r="G48" s="236">
        <f>G43*$H21/1000</f>
        <v>0</v>
      </c>
      <c r="H48" s="204"/>
      <c r="I48" s="204"/>
      <c r="J48" s="204"/>
      <c r="K48" s="204"/>
      <c r="L48" s="236">
        <f>L43*$H21/1000</f>
        <v>0</v>
      </c>
      <c r="M48" s="204"/>
      <c r="N48" s="236">
        <f>N43*$H21/1000</f>
        <v>0</v>
      </c>
      <c r="O48" s="204"/>
      <c r="P48" s="236">
        <f>P43*$H21/1000</f>
        <v>0</v>
      </c>
      <c r="Q48" s="204"/>
      <c r="R48" s="201"/>
    </row>
    <row r="49" spans="1:20" ht="15.75">
      <c r="A49" s="194">
        <v>49</v>
      </c>
      <c r="B49" s="439"/>
      <c r="C49" s="263" t="s">
        <v>154</v>
      </c>
      <c r="D49" s="237"/>
      <c r="E49" s="237"/>
      <c r="F49" s="237"/>
      <c r="G49" s="237">
        <f>G44*$H18/1000</f>
        <v>568792.12170000002</v>
      </c>
      <c r="H49" s="211"/>
      <c r="I49" s="211"/>
      <c r="J49" s="211"/>
      <c r="K49" s="211"/>
      <c r="L49" s="237">
        <f>L44*$H18/1000</f>
        <v>21816.684120000002</v>
      </c>
      <c r="M49" s="211"/>
      <c r="N49" s="237">
        <f>N44*$H18/1000</f>
        <v>285175.22814000002</v>
      </c>
      <c r="O49" s="211"/>
      <c r="P49" s="237">
        <f>P44*$H18/1000</f>
        <v>285175.22814000002</v>
      </c>
      <c r="Q49" s="211"/>
      <c r="R49" s="213"/>
    </row>
    <row r="50" spans="1:20" ht="16.5" thickBot="1">
      <c r="A50" s="276">
        <v>50</v>
      </c>
      <c r="B50" s="440"/>
      <c r="C50" s="277" t="s">
        <v>170</v>
      </c>
      <c r="D50" s="262"/>
      <c r="E50" s="262"/>
      <c r="F50" s="262"/>
      <c r="G50" s="262">
        <f>SUM(G46:G49)</f>
        <v>1332312.9044738095</v>
      </c>
      <c r="H50" s="278"/>
      <c r="I50" s="278"/>
      <c r="J50" s="278"/>
      <c r="K50" s="278"/>
      <c r="L50" s="262">
        <f>SUM(L46:L49)</f>
        <v>1917657.4865057145</v>
      </c>
      <c r="M50" s="278"/>
      <c r="N50" s="262">
        <f>SUM(N46:N49)</f>
        <v>1581432.8789019049</v>
      </c>
      <c r="O50" s="278"/>
      <c r="P50" s="262">
        <f>SUM(P46:P49)</f>
        <v>1688947.1844900001</v>
      </c>
      <c r="Q50" s="278"/>
      <c r="R50" s="279"/>
    </row>
    <row r="51" spans="1:20" ht="16.5" thickTop="1">
      <c r="A51" s="288">
        <v>51</v>
      </c>
      <c r="B51" s="434" t="s">
        <v>171</v>
      </c>
      <c r="C51" s="199" t="s">
        <v>172</v>
      </c>
      <c r="D51" s="299"/>
      <c r="E51" s="299"/>
      <c r="F51" s="299"/>
      <c r="G51" s="299">
        <f>G26-G50</f>
        <v>568561.63209761935</v>
      </c>
      <c r="H51" s="328"/>
      <c r="I51" s="328"/>
      <c r="J51" s="328"/>
      <c r="K51" s="328"/>
      <c r="L51" s="299">
        <f>L26-L50</f>
        <v>30738.913479999872</v>
      </c>
      <c r="M51" s="328"/>
      <c r="N51" s="299">
        <f>N26-N50</f>
        <v>366963.52108380944</v>
      </c>
      <c r="O51" s="328"/>
      <c r="P51" s="299">
        <f>P26-P50</f>
        <v>385804.47530999989</v>
      </c>
      <c r="Q51" s="328"/>
      <c r="R51" s="329"/>
    </row>
    <row r="52" spans="1:20" ht="16.5" thickBot="1">
      <c r="A52" s="276">
        <v>53</v>
      </c>
      <c r="B52" s="435"/>
      <c r="C52" s="197" t="s">
        <v>173</v>
      </c>
      <c r="D52" s="293"/>
      <c r="E52" s="293"/>
      <c r="F52" s="293"/>
      <c r="G52" s="293">
        <f>G51*X7</f>
        <v>5114046.4262748826</v>
      </c>
      <c r="H52" s="294"/>
      <c r="I52" s="294"/>
      <c r="J52" s="294"/>
      <c r="K52" s="294"/>
      <c r="L52" s="293">
        <f>L51*Y7</f>
        <v>357807.45849735296</v>
      </c>
      <c r="M52" s="294"/>
      <c r="N52" s="293">
        <f>N51*Z7</f>
        <v>5242336.0154829919</v>
      </c>
      <c r="O52" s="294"/>
      <c r="P52" s="293">
        <f>P51*AA7</f>
        <v>6532139.2645079345</v>
      </c>
      <c r="Q52" s="294"/>
      <c r="R52" s="295"/>
    </row>
    <row r="53" spans="1:20" ht="16.5" customHeight="1" thickTop="1">
      <c r="A53" s="288">
        <v>54</v>
      </c>
      <c r="B53" s="436" t="s">
        <v>188</v>
      </c>
      <c r="C53" s="286" t="s">
        <v>185</v>
      </c>
      <c r="D53" s="283"/>
      <c r="E53" s="283"/>
      <c r="F53" s="283"/>
      <c r="G53" s="283"/>
      <c r="H53" s="284"/>
      <c r="I53" s="284"/>
      <c r="J53" s="284"/>
      <c r="K53" s="284"/>
      <c r="L53" s="283"/>
      <c r="M53" s="284"/>
      <c r="N53" s="283"/>
      <c r="O53" s="284"/>
      <c r="P53" s="283"/>
      <c r="Q53" s="284"/>
      <c r="R53" s="285"/>
    </row>
    <row r="54" spans="1:20" ht="15.75">
      <c r="A54" s="194">
        <v>55</v>
      </c>
      <c r="B54" s="436"/>
      <c r="C54" s="229" t="s">
        <v>149</v>
      </c>
      <c r="D54" s="236"/>
      <c r="E54" s="236"/>
      <c r="F54" s="236"/>
      <c r="G54" s="236">
        <f>G14*X4</f>
        <v>322432834.21487039</v>
      </c>
      <c r="H54" s="230"/>
      <c r="I54" s="230"/>
      <c r="J54" s="230"/>
      <c r="K54" s="230"/>
      <c r="L54" s="236">
        <f>L14*Y4</f>
        <v>332625872.19972759</v>
      </c>
      <c r="M54" s="230"/>
      <c r="N54" s="236">
        <f>N14*Z4</f>
        <v>334758089.32921296</v>
      </c>
      <c r="O54" s="230"/>
      <c r="P54" s="236">
        <f>P14*AA4</f>
        <v>376480519.85628384</v>
      </c>
      <c r="Q54" s="230"/>
      <c r="R54" s="224"/>
    </row>
    <row r="55" spans="1:20" ht="15.75">
      <c r="A55" s="194">
        <v>56</v>
      </c>
      <c r="B55" s="436"/>
      <c r="C55" s="229" t="s">
        <v>150</v>
      </c>
      <c r="D55" s="236"/>
      <c r="E55" s="236"/>
      <c r="F55" s="236"/>
      <c r="G55" s="236">
        <f>G15*X5</f>
        <v>2527233115.4684095</v>
      </c>
      <c r="H55" s="230"/>
      <c r="I55" s="230"/>
      <c r="J55" s="230"/>
      <c r="K55" s="230"/>
      <c r="L55" s="236">
        <f>L15*Y5</f>
        <v>2606045751.6339869</v>
      </c>
      <c r="M55" s="230"/>
      <c r="N55" s="236">
        <f>N15*Z5</f>
        <v>2621677559.9128537</v>
      </c>
      <c r="O55" s="230"/>
      <c r="P55" s="236">
        <f>P15*AA5</f>
        <v>2701633986.9281044</v>
      </c>
      <c r="Q55" s="230"/>
      <c r="R55" s="224"/>
    </row>
    <row r="56" spans="1:20" ht="15.75">
      <c r="A56" s="194"/>
      <c r="B56" s="436"/>
      <c r="C56" s="229" t="s">
        <v>151</v>
      </c>
      <c r="D56" s="236"/>
      <c r="E56" s="236"/>
      <c r="F56" s="236"/>
      <c r="G56" s="236"/>
      <c r="H56" s="230"/>
      <c r="I56" s="230"/>
      <c r="J56" s="230"/>
      <c r="K56" s="230"/>
      <c r="L56" s="236"/>
      <c r="M56" s="230"/>
      <c r="N56" s="236"/>
      <c r="O56" s="230"/>
      <c r="P56" s="236"/>
      <c r="Q56" s="230"/>
      <c r="R56" s="224"/>
    </row>
    <row r="57" spans="1:20" ht="15.75">
      <c r="A57" s="194">
        <v>57</v>
      </c>
      <c r="B57" s="436"/>
      <c r="C57" s="287" t="s">
        <v>190</v>
      </c>
      <c r="D57" s="200"/>
      <c r="E57" s="200"/>
      <c r="F57" s="200"/>
      <c r="G57" s="200">
        <f>SUM(G54:G56)</f>
        <v>2849665949.68328</v>
      </c>
      <c r="H57" s="260"/>
      <c r="I57" s="260"/>
      <c r="J57" s="260"/>
      <c r="K57" s="260"/>
      <c r="L57" s="200">
        <f>SUM(L54:L56)</f>
        <v>2938671623.8337145</v>
      </c>
      <c r="M57" s="260"/>
      <c r="N57" s="200">
        <f>SUM(N54:N56)</f>
        <v>2956435649.2420669</v>
      </c>
      <c r="O57" s="260"/>
      <c r="P57" s="200">
        <f>SUM(P54:P56)</f>
        <v>3078114506.7843881</v>
      </c>
      <c r="Q57" s="260"/>
      <c r="R57" s="261"/>
    </row>
    <row r="58" spans="1:20" ht="15.75">
      <c r="A58" s="194"/>
      <c r="B58" s="436"/>
      <c r="C58" s="287" t="s">
        <v>186</v>
      </c>
      <c r="D58" s="308"/>
      <c r="E58" s="308"/>
      <c r="F58" s="308"/>
      <c r="G58" s="308"/>
      <c r="H58" s="441"/>
      <c r="I58" s="442"/>
      <c r="J58" s="442"/>
      <c r="K58" s="443"/>
      <c r="L58" s="308"/>
      <c r="M58" s="309"/>
      <c r="N58" s="308"/>
      <c r="O58" s="309"/>
      <c r="P58" s="308"/>
      <c r="Q58" s="441"/>
      <c r="R58" s="443"/>
    </row>
    <row r="59" spans="1:20" ht="15.75">
      <c r="A59" s="194">
        <v>58</v>
      </c>
      <c r="B59" s="436"/>
      <c r="C59" s="229" t="s">
        <v>149</v>
      </c>
      <c r="D59" s="236"/>
      <c r="E59" s="236"/>
      <c r="F59" s="236"/>
      <c r="G59" s="236">
        <f>G41*X4</f>
        <v>107477611.40495682</v>
      </c>
      <c r="H59" s="230"/>
      <c r="I59" s="230"/>
      <c r="J59" s="230"/>
      <c r="K59" s="230"/>
      <c r="L59" s="236">
        <f>L41*Y4</f>
        <v>311975041.99664026</v>
      </c>
      <c r="M59" s="230"/>
      <c r="N59" s="236">
        <f>N41*Z4</f>
        <v>111586029.77640432</v>
      </c>
      <c r="O59" s="230"/>
      <c r="P59" s="236">
        <f>P41*AA4</f>
        <v>125493506.61876127</v>
      </c>
      <c r="Q59" s="230"/>
      <c r="R59" s="224"/>
    </row>
    <row r="60" spans="1:20" ht="15.75">
      <c r="A60" s="194">
        <v>59</v>
      </c>
      <c r="B60" s="436"/>
      <c r="C60" s="229" t="s">
        <v>150</v>
      </c>
      <c r="D60" s="236"/>
      <c r="E60" s="236"/>
      <c r="F60" s="236"/>
      <c r="G60" s="236">
        <f>G42*X5</f>
        <v>1147785039.9419026</v>
      </c>
      <c r="H60" s="230"/>
      <c r="I60" s="230"/>
      <c r="J60" s="230"/>
      <c r="K60" s="230"/>
      <c r="L60" s="236">
        <f>L42*Y5</f>
        <v>2606045751.6339869</v>
      </c>
      <c r="M60" s="230"/>
      <c r="N60" s="236">
        <f>N42*Z5</f>
        <v>2412795933.1880898</v>
      </c>
      <c r="O60" s="230"/>
      <c r="P60" s="236">
        <f>P42*AA5</f>
        <v>2605147058.8235292</v>
      </c>
      <c r="Q60" s="230"/>
      <c r="R60" s="224"/>
      <c r="T60" s="300"/>
    </row>
    <row r="61" spans="1:20" ht="15.75">
      <c r="A61" s="194"/>
      <c r="B61" s="436"/>
      <c r="C61" s="229" t="s">
        <v>151</v>
      </c>
      <c r="D61" s="236"/>
      <c r="E61" s="236"/>
      <c r="F61" s="236"/>
      <c r="G61" s="236"/>
      <c r="H61" s="230"/>
      <c r="I61" s="230"/>
      <c r="J61" s="230"/>
      <c r="K61" s="230"/>
      <c r="L61" s="236"/>
      <c r="M61" s="230"/>
      <c r="N61" s="236"/>
      <c r="O61" s="230"/>
      <c r="P61" s="236"/>
      <c r="Q61" s="230"/>
      <c r="R61" s="224"/>
    </row>
    <row r="62" spans="1:20" ht="15.75">
      <c r="A62" s="194">
        <v>60</v>
      </c>
      <c r="B62" s="436"/>
      <c r="C62" s="229" t="s">
        <v>160</v>
      </c>
      <c r="D62" s="236"/>
      <c r="E62" s="236"/>
      <c r="F62" s="236"/>
      <c r="G62" s="236">
        <f>G44*X6</f>
        <v>1014799902.4376682</v>
      </c>
      <c r="H62" s="230"/>
      <c r="I62" s="230"/>
      <c r="J62" s="230"/>
      <c r="K62" s="230"/>
      <c r="L62" s="236">
        <f>L44*Y6</f>
        <v>39277684.891360797</v>
      </c>
      <c r="M62" s="230"/>
      <c r="N62" s="236">
        <f>N44*Z6</f>
        <v>518040816.94551557</v>
      </c>
      <c r="O62" s="230"/>
      <c r="P62" s="236">
        <f>P44*AA6</f>
        <v>522666181.38252902</v>
      </c>
      <c r="Q62" s="230"/>
      <c r="R62" s="224"/>
    </row>
    <row r="63" spans="1:20" ht="15.75">
      <c r="A63" s="298"/>
      <c r="B63" s="436"/>
      <c r="C63" s="287" t="s">
        <v>189</v>
      </c>
      <c r="D63" s="200"/>
      <c r="E63" s="200"/>
      <c r="F63" s="200"/>
      <c r="G63" s="200">
        <f>SUM(G59:G62)</f>
        <v>2270062553.7845278</v>
      </c>
      <c r="H63" s="260"/>
      <c r="I63" s="260"/>
      <c r="J63" s="260"/>
      <c r="K63" s="260"/>
      <c r="L63" s="200">
        <f>SUM(L59:L62)</f>
        <v>2957298478.5219879</v>
      </c>
      <c r="M63" s="260"/>
      <c r="N63" s="200">
        <f>SUM(N59:N62)</f>
        <v>3042422779.9100099</v>
      </c>
      <c r="O63" s="260"/>
      <c r="P63" s="200">
        <f>SUM(P59:P62)</f>
        <v>3253306746.8248196</v>
      </c>
      <c r="Q63" s="260"/>
      <c r="R63" s="261"/>
    </row>
    <row r="64" spans="1:20" ht="16.5" thickBot="1">
      <c r="A64" s="276">
        <v>61</v>
      </c>
      <c r="B64" s="437"/>
      <c r="C64" s="269" t="s">
        <v>187</v>
      </c>
      <c r="D64" s="280"/>
      <c r="E64" s="280"/>
      <c r="F64" s="280"/>
      <c r="G64" s="280">
        <f>G57-G63</f>
        <v>579603395.89875221</v>
      </c>
      <c r="H64" s="281"/>
      <c r="I64" s="281"/>
      <c r="J64" s="281"/>
      <c r="K64" s="281"/>
      <c r="L64" s="280">
        <f>L57-L63</f>
        <v>-18626854.68827343</v>
      </c>
      <c r="M64" s="281"/>
      <c r="N64" s="280">
        <f>N57-N63</f>
        <v>-85987130.667943001</v>
      </c>
      <c r="O64" s="281"/>
      <c r="P64" s="280">
        <f>P57-P63</f>
        <v>-175192240.0404315</v>
      </c>
      <c r="Q64" s="281"/>
      <c r="R64" s="282"/>
    </row>
    <row r="65" spans="1:18" ht="16.5" thickTop="1">
      <c r="A65" s="288">
        <v>63</v>
      </c>
      <c r="B65" s="424" t="s">
        <v>192</v>
      </c>
      <c r="C65" s="313" t="s">
        <v>203</v>
      </c>
      <c r="D65" s="317"/>
      <c r="E65" s="317"/>
      <c r="F65" s="318"/>
      <c r="G65" s="318" t="s">
        <v>204</v>
      </c>
      <c r="H65" s="201"/>
      <c r="I65" s="201"/>
      <c r="J65" s="201"/>
      <c r="K65" s="201"/>
      <c r="L65" s="318" t="s">
        <v>204</v>
      </c>
      <c r="M65" s="201"/>
      <c r="N65" s="318" t="s">
        <v>204</v>
      </c>
      <c r="O65" s="201"/>
      <c r="P65" s="318" t="s">
        <v>204</v>
      </c>
      <c r="Q65" s="201"/>
      <c r="R65" s="201"/>
    </row>
    <row r="66" spans="1:18" ht="15.75">
      <c r="A66" s="194">
        <v>64</v>
      </c>
      <c r="B66" s="425"/>
      <c r="C66" s="229" t="s">
        <v>205</v>
      </c>
      <c r="D66" s="319"/>
      <c r="E66" s="319"/>
      <c r="F66" s="314"/>
      <c r="G66" s="321">
        <f>Indicators!AC51*14</f>
        <v>8400</v>
      </c>
      <c r="H66" s="322"/>
      <c r="I66" s="322"/>
      <c r="J66" s="322"/>
      <c r="K66" s="322"/>
      <c r="L66" s="321">
        <f>Indicators!AD51*14</f>
        <v>8400</v>
      </c>
      <c r="M66" s="322"/>
      <c r="N66" s="321">
        <f>Indicators!AE51*14</f>
        <v>8400</v>
      </c>
      <c r="O66" s="322"/>
      <c r="P66" s="321">
        <f>Indicators!AF51*14</f>
        <v>8400</v>
      </c>
      <c r="Q66" s="201"/>
      <c r="R66" s="201"/>
    </row>
    <row r="67" spans="1:18" ht="15.75">
      <c r="A67" s="194">
        <v>65</v>
      </c>
      <c r="B67" s="425"/>
      <c r="C67" s="229" t="s">
        <v>206</v>
      </c>
      <c r="D67" s="319"/>
      <c r="E67" s="319"/>
      <c r="F67" s="314"/>
      <c r="G67" s="321">
        <f>Indicators!$I55*14</f>
        <v>1400</v>
      </c>
      <c r="H67" s="322"/>
      <c r="I67" s="322"/>
      <c r="J67" s="322"/>
      <c r="K67" s="322"/>
      <c r="L67" s="321">
        <f>Indicators!$I56*14</f>
        <v>1400</v>
      </c>
      <c r="M67" s="322"/>
      <c r="N67" s="321">
        <f>Indicators!$I57*14</f>
        <v>1400</v>
      </c>
      <c r="O67" s="322"/>
      <c r="P67" s="321">
        <f>Indicators!$I58*14</f>
        <v>1400</v>
      </c>
      <c r="Q67" s="201"/>
      <c r="R67" s="201"/>
    </row>
    <row r="68" spans="1:18" ht="15.75">
      <c r="A68" s="194">
        <v>66</v>
      </c>
      <c r="B68" s="425"/>
      <c r="C68" s="229" t="s">
        <v>214</v>
      </c>
      <c r="D68" s="320"/>
      <c r="E68" s="320"/>
      <c r="F68" s="315"/>
      <c r="G68" s="321">
        <f>G67*$X$8</f>
        <v>700000000</v>
      </c>
      <c r="H68" s="322"/>
      <c r="I68" s="322"/>
      <c r="J68" s="322"/>
      <c r="K68" s="322"/>
      <c r="L68" s="321">
        <f>L67*$Y$8</f>
        <v>700000000</v>
      </c>
      <c r="M68" s="322"/>
      <c r="N68" s="321">
        <f>N67*$Z$8</f>
        <v>700000000</v>
      </c>
      <c r="O68" s="322"/>
      <c r="P68" s="321">
        <f>P67*$AA$8</f>
        <v>700000000</v>
      </c>
      <c r="Q68" s="201"/>
      <c r="R68" s="201"/>
    </row>
    <row r="69" spans="1:18" ht="16.5" thickBot="1">
      <c r="A69" s="276">
        <v>67</v>
      </c>
      <c r="B69" s="426"/>
      <c r="C69" s="269" t="s">
        <v>215</v>
      </c>
      <c r="D69" s="310"/>
      <c r="E69" s="310"/>
      <c r="F69" s="293"/>
      <c r="G69" s="293">
        <f>G68*X9</f>
        <v>35000000</v>
      </c>
      <c r="H69" s="294"/>
      <c r="I69" s="294"/>
      <c r="J69" s="294"/>
      <c r="K69" s="294"/>
      <c r="L69" s="293">
        <f>L68*Y9</f>
        <v>35000000</v>
      </c>
      <c r="M69" s="294"/>
      <c r="N69" s="293">
        <f>N68*Z9</f>
        <v>35000000</v>
      </c>
      <c r="O69" s="294"/>
      <c r="P69" s="293">
        <f>P68*AA9</f>
        <v>35000000</v>
      </c>
      <c r="Q69" s="294"/>
      <c r="R69" s="295"/>
    </row>
    <row r="70" spans="1:18" ht="15.75" thickTop="1">
      <c r="A70" s="311"/>
      <c r="B70" s="312"/>
      <c r="C70" s="311"/>
      <c r="D70" s="311"/>
      <c r="E70" s="311"/>
      <c r="F70" s="311"/>
      <c r="G70" s="311"/>
      <c r="H70" s="311"/>
      <c r="I70" s="311"/>
      <c r="J70" s="311"/>
      <c r="K70" s="311"/>
      <c r="L70" s="311"/>
      <c r="M70" s="311"/>
      <c r="N70" s="311"/>
      <c r="O70" s="311"/>
      <c r="P70" s="311"/>
      <c r="Q70" s="311"/>
      <c r="R70" s="311"/>
    </row>
    <row r="71" spans="1:18" ht="15.75">
      <c r="A71" s="274">
        <v>68</v>
      </c>
      <c r="B71" s="427" t="s">
        <v>209</v>
      </c>
      <c r="C71" s="428" t="s">
        <v>212</v>
      </c>
      <c r="D71" s="428"/>
      <c r="E71" s="428"/>
      <c r="F71" s="428"/>
      <c r="G71" s="428"/>
      <c r="H71" s="428"/>
      <c r="I71" s="428"/>
      <c r="J71" s="428"/>
      <c r="K71" s="428"/>
      <c r="L71" s="428"/>
      <c r="M71" s="428"/>
      <c r="N71" s="428"/>
      <c r="O71" s="428"/>
      <c r="P71" s="428"/>
      <c r="Q71" s="428"/>
      <c r="R71" s="428"/>
    </row>
    <row r="72" spans="1:18" ht="15.75">
      <c r="A72" s="194">
        <v>69</v>
      </c>
      <c r="B72" s="427"/>
      <c r="C72" s="229" t="s">
        <v>210</v>
      </c>
      <c r="D72" s="333"/>
      <c r="E72" s="334">
        <v>40000000</v>
      </c>
      <c r="F72" s="334">
        <v>40000000</v>
      </c>
      <c r="G72" s="335"/>
      <c r="H72" s="336"/>
      <c r="I72" s="336"/>
      <c r="J72" s="336"/>
      <c r="K72" s="336"/>
      <c r="L72" s="335"/>
      <c r="M72" s="336"/>
      <c r="N72" s="335"/>
      <c r="O72" s="336"/>
      <c r="P72" s="335"/>
      <c r="Q72" s="336"/>
      <c r="R72" s="336"/>
    </row>
    <row r="73" spans="1:18" ht="15.75">
      <c r="A73" s="194">
        <v>70</v>
      </c>
      <c r="B73" s="427"/>
      <c r="C73" s="229" t="s">
        <v>211</v>
      </c>
      <c r="D73" s="337"/>
      <c r="E73" s="334"/>
      <c r="F73" s="334"/>
      <c r="G73" s="335">
        <f>SUM($E$72:$F$72)*0.03</f>
        <v>2400000</v>
      </c>
      <c r="H73" s="336"/>
      <c r="I73" s="336"/>
      <c r="J73" s="336"/>
      <c r="K73" s="336"/>
      <c r="L73" s="335">
        <f>SUM($E$72:$F$72)*0.03</f>
        <v>2400000</v>
      </c>
      <c r="M73" s="336"/>
      <c r="N73" s="335">
        <f>SUM($E$72:$F$72)*0.03</f>
        <v>2400000</v>
      </c>
      <c r="O73" s="336"/>
      <c r="P73" s="335">
        <f>SUM($E$72:$F$72)*0.03</f>
        <v>2400000</v>
      </c>
      <c r="Q73" s="336"/>
      <c r="R73" s="336"/>
    </row>
    <row r="74" spans="1:18" ht="15.75">
      <c r="A74" s="194">
        <v>71</v>
      </c>
      <c r="B74" s="427"/>
      <c r="C74" s="229" t="s">
        <v>225</v>
      </c>
      <c r="D74" s="337"/>
      <c r="E74" s="334"/>
      <c r="F74" s="334"/>
      <c r="G74" s="335"/>
      <c r="H74" s="336"/>
      <c r="I74" s="336"/>
      <c r="J74" s="336"/>
      <c r="K74" s="336"/>
      <c r="L74" s="335"/>
      <c r="M74" s="336"/>
      <c r="N74" s="335"/>
      <c r="O74" s="336"/>
      <c r="P74" s="335">
        <f>-(SUM(E72:F72)/40*35)</f>
        <v>-70000000</v>
      </c>
      <c r="Q74" s="336"/>
      <c r="R74" s="336"/>
    </row>
    <row r="75" spans="1:18" ht="16.5" thickBot="1">
      <c r="A75" s="194">
        <v>72</v>
      </c>
      <c r="B75" s="427"/>
      <c r="C75" s="269" t="s">
        <v>224</v>
      </c>
      <c r="D75" s="338">
        <f>SUM(D72:D74)</f>
        <v>0</v>
      </c>
      <c r="E75" s="338">
        <f>SUM(E72:E74)</f>
        <v>40000000</v>
      </c>
      <c r="F75" s="338">
        <f>SUM(F72:F74)</f>
        <v>40000000</v>
      </c>
      <c r="G75" s="338">
        <f>SUM(G72:G74)</f>
        <v>2400000</v>
      </c>
      <c r="H75" s="339"/>
      <c r="I75" s="339"/>
      <c r="J75" s="339"/>
      <c r="K75" s="339"/>
      <c r="L75" s="338">
        <f>SUM(L72:L74)</f>
        <v>2400000</v>
      </c>
      <c r="M75" s="339"/>
      <c r="N75" s="338">
        <f>SUM(N72:N74)</f>
        <v>2400000</v>
      </c>
      <c r="O75" s="339"/>
      <c r="P75" s="338">
        <f>SUM(P72:P74)</f>
        <v>-67600000</v>
      </c>
      <c r="Q75" s="339"/>
      <c r="R75" s="340"/>
    </row>
    <row r="76" spans="1:18" ht="16.5" thickTop="1">
      <c r="A76" s="194">
        <v>73</v>
      </c>
      <c r="B76" s="427"/>
      <c r="C76" s="316" t="s">
        <v>213</v>
      </c>
      <c r="D76" s="334"/>
      <c r="E76" s="334"/>
      <c r="F76" s="334"/>
      <c r="G76" s="334">
        <f>SUM(G52,G64,G69)</f>
        <v>619717442.32502711</v>
      </c>
      <c r="H76" s="341"/>
      <c r="I76" s="341"/>
      <c r="J76" s="341"/>
      <c r="K76" s="341"/>
      <c r="L76" s="334">
        <f>SUM(L52,L64,L69)</f>
        <v>16730952.770223923</v>
      </c>
      <c r="M76" s="341"/>
      <c r="N76" s="334">
        <f>SUM(N52,N64,N69)</f>
        <v>-45744794.652460009</v>
      </c>
      <c r="O76" s="341"/>
      <c r="P76" s="334">
        <f>SUM(P52,P64,P69)</f>
        <v>-133660100.77592355</v>
      </c>
      <c r="Q76" s="341"/>
      <c r="R76" s="342"/>
    </row>
    <row r="77" spans="1:18" ht="16.5" thickBot="1">
      <c r="A77" s="327"/>
      <c r="B77" s="427"/>
      <c r="C77" s="331" t="s">
        <v>221</v>
      </c>
      <c r="D77" s="343"/>
      <c r="E77" s="343"/>
      <c r="F77" s="343"/>
      <c r="G77" s="343"/>
      <c r="H77" s="344"/>
      <c r="I77" s="344"/>
      <c r="J77" s="344"/>
      <c r="K77" s="344"/>
      <c r="L77" s="343"/>
      <c r="M77" s="344"/>
      <c r="N77" s="343"/>
      <c r="O77" s="344"/>
      <c r="P77" s="343"/>
      <c r="Q77" s="344"/>
      <c r="R77" s="345"/>
    </row>
    <row r="78" spans="1:18" ht="17.25" thickTop="1" thickBot="1">
      <c r="A78" s="327"/>
      <c r="B78" s="427"/>
      <c r="C78" s="269" t="s">
        <v>222</v>
      </c>
      <c r="D78" s="338">
        <f>SUM(D76:D77)</f>
        <v>0</v>
      </c>
      <c r="E78" s="338">
        <f t="shared" ref="E78:G78" si="0">SUM(E76:E77)</f>
        <v>0</v>
      </c>
      <c r="F78" s="338">
        <f t="shared" si="0"/>
        <v>0</v>
      </c>
      <c r="G78" s="338">
        <f t="shared" si="0"/>
        <v>619717442.32502711</v>
      </c>
      <c r="H78" s="339"/>
      <c r="I78" s="339"/>
      <c r="J78" s="339"/>
      <c r="K78" s="339"/>
      <c r="L78" s="338">
        <f>SUM(L76:L77)</f>
        <v>16730952.770223923</v>
      </c>
      <c r="M78" s="339"/>
      <c r="N78" s="338">
        <f>SUM(N76:N77)</f>
        <v>-45744794.652460009</v>
      </c>
      <c r="O78" s="339"/>
      <c r="P78" s="338">
        <f>SUM(P76:P77)</f>
        <v>-133660100.77592355</v>
      </c>
      <c r="Q78" s="339"/>
      <c r="R78" s="340"/>
    </row>
    <row r="79" spans="1:18" ht="16.5" thickTop="1">
      <c r="B79" s="427"/>
      <c r="C79" s="286" t="s">
        <v>223</v>
      </c>
      <c r="D79" s="346">
        <v>0</v>
      </c>
      <c r="E79" s="346">
        <f>E76-E75</f>
        <v>-40000000</v>
      </c>
      <c r="F79" s="346">
        <f>F76-F75</f>
        <v>-40000000</v>
      </c>
      <c r="G79" s="346">
        <f>G78-G75</f>
        <v>617317442.32502711</v>
      </c>
      <c r="H79" s="347"/>
      <c r="I79" s="347"/>
      <c r="J79" s="347"/>
      <c r="K79" s="347"/>
      <c r="L79" s="346">
        <f>L78-L75</f>
        <v>14330952.770223923</v>
      </c>
      <c r="M79" s="347"/>
      <c r="N79" s="346">
        <f>N78-N75</f>
        <v>-48144794.652460009</v>
      </c>
      <c r="O79" s="347"/>
      <c r="P79" s="346">
        <f>P78-P75</f>
        <v>-66060100.77592355</v>
      </c>
      <c r="Q79" s="347"/>
      <c r="R79" s="348"/>
    </row>
    <row r="80" spans="1:18" ht="15.75">
      <c r="B80" s="427"/>
      <c r="C80" s="268" t="s">
        <v>174</v>
      </c>
      <c r="D80" s="332">
        <v>4.4999999999999998E-2</v>
      </c>
      <c r="E80" s="332">
        <f>D80</f>
        <v>4.4999999999999998E-2</v>
      </c>
      <c r="F80" s="332">
        <f>D80</f>
        <v>4.4999999999999998E-2</v>
      </c>
      <c r="G80" s="332">
        <f>D80</f>
        <v>4.4999999999999998E-2</v>
      </c>
      <c r="H80" s="349"/>
      <c r="I80" s="349"/>
      <c r="J80" s="349"/>
      <c r="K80" s="349"/>
      <c r="L80" s="332">
        <f>D80</f>
        <v>4.4999999999999998E-2</v>
      </c>
      <c r="M80" s="349"/>
      <c r="N80" s="332">
        <f>D80</f>
        <v>4.4999999999999998E-2</v>
      </c>
      <c r="O80" s="349"/>
      <c r="P80" s="332">
        <f>E80</f>
        <v>4.4999999999999998E-2</v>
      </c>
      <c r="Q80" s="349"/>
      <c r="R80" s="350"/>
    </row>
    <row r="81" spans="2:18" ht="16.5" thickBot="1">
      <c r="B81" s="427"/>
      <c r="C81" s="351" t="s">
        <v>220</v>
      </c>
      <c r="D81" s="352">
        <f>D79/(1+D80)^0</f>
        <v>0</v>
      </c>
      <c r="E81" s="352">
        <f>E79/(1+E80)^1</f>
        <v>-38277511.961722493</v>
      </c>
      <c r="F81" s="352">
        <f>F79/(1+F80)^2</f>
        <v>-36629198.049495213</v>
      </c>
      <c r="G81" s="352">
        <f>G79/(1+G80)^3</f>
        <v>540953178.33328366</v>
      </c>
      <c r="H81" s="353"/>
      <c r="I81" s="353"/>
      <c r="J81" s="353"/>
      <c r="K81" s="353"/>
      <c r="L81" s="352">
        <f>L79/(1+L80)^4</f>
        <v>12017383.009969877</v>
      </c>
      <c r="M81" s="353"/>
      <c r="N81" s="352">
        <f>N79/(1+N80)^5</f>
        <v>-38633840.852427073</v>
      </c>
      <c r="O81" s="353"/>
      <c r="P81" s="352">
        <f>P79/(1+P80)^6</f>
        <v>-50727269.856057912</v>
      </c>
      <c r="Q81" s="353"/>
      <c r="R81" s="354"/>
    </row>
    <row r="82" spans="2:18" ht="15.75" thickTop="1">
      <c r="B82" s="427"/>
    </row>
    <row r="83" spans="2:18">
      <c r="B83" s="427"/>
      <c r="D83" s="356"/>
    </row>
    <row r="84" spans="2:18">
      <c r="B84" s="427"/>
    </row>
    <row r="85" spans="2:18" ht="16.5" thickBot="1">
      <c r="B85" s="427"/>
      <c r="C85" s="330" t="s">
        <v>226</v>
      </c>
      <c r="D85" s="357">
        <f>D75/(1+D80)^0</f>
        <v>0</v>
      </c>
      <c r="E85" s="357">
        <f>E75/(1+E80)^1</f>
        <v>38277511.961722493</v>
      </c>
      <c r="F85" s="357">
        <f>F75/(1+F80)^2</f>
        <v>36629198.049495213</v>
      </c>
      <c r="G85" s="357">
        <f>G75/(1+G80)^3</f>
        <v>2103111.8497317825</v>
      </c>
      <c r="H85" s="429"/>
      <c r="I85" s="430"/>
      <c r="J85" s="430"/>
      <c r="K85" s="431"/>
      <c r="L85" s="357">
        <f>L75/(1+L80)^4</f>
        <v>2012547.2246237157</v>
      </c>
      <c r="M85" s="357"/>
      <c r="N85" s="357">
        <f>N75/(1+N80)^5</f>
        <v>1925882.5116016418</v>
      </c>
      <c r="O85" s="357"/>
      <c r="P85" s="357">
        <f>P75/(1+P80)^6</f>
        <v>-51909751.907604076</v>
      </c>
      <c r="Q85" s="429"/>
      <c r="R85" s="431"/>
    </row>
    <row r="86" spans="2:18" ht="17.25" thickTop="1" thickBot="1">
      <c r="B86" s="427"/>
      <c r="C86" s="330" t="s">
        <v>227</v>
      </c>
      <c r="D86" s="357">
        <f>D78/(1+D80)^0</f>
        <v>0</v>
      </c>
      <c r="E86" s="357">
        <f>E78/(1+E80)^1</f>
        <v>0</v>
      </c>
      <c r="F86" s="357">
        <f>F78/(1+F80)^2</f>
        <v>0</v>
      </c>
      <c r="G86" s="357">
        <f>G78/(1+G80)^3</f>
        <v>543056290.18301535</v>
      </c>
      <c r="H86" s="429"/>
      <c r="I86" s="430"/>
      <c r="J86" s="430"/>
      <c r="K86" s="431"/>
      <c r="L86" s="357">
        <f>L78/(1+L80)^4</f>
        <v>14029930.234593594</v>
      </c>
      <c r="M86" s="357"/>
      <c r="N86" s="357">
        <f>N78/(1+N80)^5</f>
        <v>-36707958.340825431</v>
      </c>
      <c r="O86" s="357"/>
      <c r="P86" s="357">
        <f>P78/(1+P80)^6</f>
        <v>-102637021.763662</v>
      </c>
      <c r="Q86" s="432"/>
      <c r="R86" s="433"/>
    </row>
    <row r="87" spans="2:18" ht="17.25" thickTop="1" thickBot="1">
      <c r="B87" s="427"/>
      <c r="C87" s="197" t="s">
        <v>217</v>
      </c>
      <c r="D87" s="338">
        <f>SUM(D81:P81)</f>
        <v>388702740.62355089</v>
      </c>
      <c r="E87" s="356"/>
      <c r="F87" s="356"/>
      <c r="G87" s="356"/>
      <c r="H87" s="356"/>
      <c r="I87" s="356"/>
      <c r="J87" s="356"/>
      <c r="K87" s="356"/>
      <c r="L87" s="356"/>
      <c r="M87" s="356"/>
      <c r="N87" s="356"/>
      <c r="O87" s="356"/>
      <c r="P87" s="356"/>
    </row>
    <row r="88" spans="2:18" ht="16.5" thickTop="1">
      <c r="B88" s="427"/>
      <c r="C88" s="199" t="s">
        <v>218</v>
      </c>
      <c r="D88" s="306">
        <f>IRR(D81:R81)</f>
        <v>2.306675393195238</v>
      </c>
    </row>
    <row r="89" spans="2:18" ht="15.75">
      <c r="C89" s="199" t="s">
        <v>219</v>
      </c>
      <c r="D89" s="305">
        <f>D92/D91</f>
        <v>14.385772156925654</v>
      </c>
    </row>
    <row r="90" spans="2:18">
      <c r="G90" s="304"/>
      <c r="H90" s="304"/>
      <c r="I90" s="304"/>
      <c r="J90" s="304"/>
      <c r="K90" s="304"/>
      <c r="L90" s="304"/>
    </row>
    <row r="91" spans="2:18" ht="15.75">
      <c r="C91" s="199" t="s">
        <v>228</v>
      </c>
      <c r="D91" s="356">
        <f>SUM(D85:P85)</f>
        <v>29038499.689570777</v>
      </c>
    </row>
    <row r="92" spans="2:18" ht="15.75">
      <c r="C92" s="199" t="s">
        <v>229</v>
      </c>
      <c r="D92" s="356">
        <f>SUM(D86:P86)</f>
        <v>417741240.31312156</v>
      </c>
    </row>
    <row r="93" spans="2:18">
      <c r="D93" s="356"/>
    </row>
    <row r="97" spans="4:10">
      <c r="E97" s="304">
        <f>E81</f>
        <v>-38277511.961722493</v>
      </c>
      <c r="F97" s="304">
        <f>F81</f>
        <v>-36629198.049495213</v>
      </c>
      <c r="G97" s="304">
        <f>G81</f>
        <v>540953178.33328366</v>
      </c>
      <c r="H97" s="304">
        <f>L81</f>
        <v>12017383.009969877</v>
      </c>
      <c r="I97" s="304">
        <f>N81</f>
        <v>-38633840.852427073</v>
      </c>
      <c r="J97" s="304">
        <f>P81</f>
        <v>-50727269.856057912</v>
      </c>
    </row>
    <row r="98" spans="4:10">
      <c r="G98" s="323"/>
      <c r="J98" s="306"/>
    </row>
    <row r="99" spans="4:10">
      <c r="E99" s="323">
        <f>IRR(E97:J97)</f>
        <v>2.306675393195238</v>
      </c>
    </row>
    <row r="100" spans="4:10">
      <c r="D100" s="355"/>
    </row>
  </sheetData>
  <mergeCells count="16">
    <mergeCell ref="B51:B52"/>
    <mergeCell ref="B53:B64"/>
    <mergeCell ref="V2:AA2"/>
    <mergeCell ref="B3:B7"/>
    <mergeCell ref="B8:B26"/>
    <mergeCell ref="B27:B39"/>
    <mergeCell ref="B40:B50"/>
    <mergeCell ref="H58:K58"/>
    <mergeCell ref="Q58:R58"/>
    <mergeCell ref="B65:B69"/>
    <mergeCell ref="B71:B88"/>
    <mergeCell ref="C71:R71"/>
    <mergeCell ref="H85:K85"/>
    <mergeCell ref="H86:K86"/>
    <mergeCell ref="Q86:R86"/>
    <mergeCell ref="Q85:R85"/>
  </mergeCells>
  <conditionalFormatting sqref="Q44">
    <cfRule type="cellIs" dxfId="65" priority="118" operator="equal">
      <formula>"ERROR"</formula>
    </cfRule>
    <cfRule type="cellIs" dxfId="64" priority="119" operator="equal">
      <formula>"OK"</formula>
    </cfRule>
  </conditionalFormatting>
  <conditionalFormatting sqref="H44">
    <cfRule type="cellIs" dxfId="63" priority="124" operator="equal">
      <formula>"ERROR"</formula>
    </cfRule>
    <cfRule type="cellIs" dxfId="62" priority="125" operator="equal">
      <formula>"OK"</formula>
    </cfRule>
  </conditionalFormatting>
  <conditionalFormatting sqref="M44">
    <cfRule type="cellIs" dxfId="61" priority="122" operator="equal">
      <formula>"ERROR"</formula>
    </cfRule>
    <cfRule type="cellIs" dxfId="60" priority="123" operator="equal">
      <formula>"OK"</formula>
    </cfRule>
  </conditionalFormatting>
  <conditionalFormatting sqref="O44">
    <cfRule type="cellIs" dxfId="59" priority="120" operator="equal">
      <formula>"ERROR"</formula>
    </cfRule>
    <cfRule type="cellIs" dxfId="58" priority="121" operator="equal">
      <formula>"OK"</formula>
    </cfRule>
  </conditionalFormatting>
  <conditionalFormatting sqref="G52:P52 G64:P64">
    <cfRule type="cellIs" dxfId="57" priority="116" operator="greaterThan">
      <formula>0</formula>
    </cfRule>
  </conditionalFormatting>
  <conditionalFormatting sqref="G52:R53 G64:R64">
    <cfRule type="cellIs" dxfId="56" priority="115" operator="lessThan">
      <formula>0</formula>
    </cfRule>
  </conditionalFormatting>
  <conditionalFormatting sqref="G69:P69">
    <cfRule type="cellIs" dxfId="55" priority="114" operator="greaterThan">
      <formula>0</formula>
    </cfRule>
  </conditionalFormatting>
  <conditionalFormatting sqref="G69:R69">
    <cfRule type="cellIs" dxfId="54" priority="113" operator="lessThan">
      <formula>0</formula>
    </cfRule>
  </conditionalFormatting>
  <conditionalFormatting sqref="E52 E64">
    <cfRule type="cellIs" dxfId="53" priority="112" operator="greaterThan">
      <formula>0</formula>
    </cfRule>
  </conditionalFormatting>
  <conditionalFormatting sqref="E52:E53 E64">
    <cfRule type="cellIs" dxfId="52" priority="111" operator="lessThan">
      <formula>0</formula>
    </cfRule>
  </conditionalFormatting>
  <conditionalFormatting sqref="E69">
    <cfRule type="cellIs" dxfId="51" priority="110" operator="greaterThan">
      <formula>0</formula>
    </cfRule>
  </conditionalFormatting>
  <conditionalFormatting sqref="E69">
    <cfRule type="cellIs" dxfId="50" priority="109" operator="lessThan">
      <formula>0</formula>
    </cfRule>
  </conditionalFormatting>
  <conditionalFormatting sqref="F52 F64">
    <cfRule type="cellIs" dxfId="49" priority="108" operator="greaterThan">
      <formula>0</formula>
    </cfRule>
  </conditionalFormatting>
  <conditionalFormatting sqref="F52:F53 F64">
    <cfRule type="cellIs" dxfId="48" priority="107" operator="lessThan">
      <formula>0</formula>
    </cfRule>
  </conditionalFormatting>
  <conditionalFormatting sqref="F69">
    <cfRule type="cellIs" dxfId="47" priority="106" operator="greaterThan">
      <formula>0</formula>
    </cfRule>
  </conditionalFormatting>
  <conditionalFormatting sqref="F69">
    <cfRule type="cellIs" dxfId="46" priority="105" operator="lessThan">
      <formula>0</formula>
    </cfRule>
  </conditionalFormatting>
  <conditionalFormatting sqref="G75:P75">
    <cfRule type="cellIs" dxfId="45" priority="104" operator="lessThan">
      <formula>0</formula>
    </cfRule>
  </conditionalFormatting>
  <conditionalFormatting sqref="G75:R75">
    <cfRule type="cellIs" dxfId="44" priority="103" operator="greaterThan">
      <formula>0</formula>
    </cfRule>
  </conditionalFormatting>
  <conditionalFormatting sqref="E75">
    <cfRule type="cellIs" dxfId="43" priority="102" operator="lessThan">
      <formula>0</formula>
    </cfRule>
  </conditionalFormatting>
  <conditionalFormatting sqref="E75">
    <cfRule type="cellIs" dxfId="42" priority="101" operator="greaterThan">
      <formula>0</formula>
    </cfRule>
  </conditionalFormatting>
  <conditionalFormatting sqref="F75">
    <cfRule type="cellIs" dxfId="41" priority="100" operator="lessThan">
      <formula>0</formula>
    </cfRule>
  </conditionalFormatting>
  <conditionalFormatting sqref="F75">
    <cfRule type="cellIs" dxfId="40" priority="99" operator="greaterThan">
      <formula>0</formula>
    </cfRule>
  </conditionalFormatting>
  <conditionalFormatting sqref="G79:P79">
    <cfRule type="cellIs" dxfId="39" priority="80" operator="greaterThan">
      <formula>0</formula>
    </cfRule>
  </conditionalFormatting>
  <conditionalFormatting sqref="G79:R79">
    <cfRule type="cellIs" dxfId="38" priority="79" operator="lessThan">
      <formula>0</formula>
    </cfRule>
  </conditionalFormatting>
  <conditionalFormatting sqref="E79">
    <cfRule type="cellIs" dxfId="37" priority="78" operator="greaterThan">
      <formula>0</formula>
    </cfRule>
  </conditionalFormatting>
  <conditionalFormatting sqref="E79">
    <cfRule type="cellIs" dxfId="36" priority="77" operator="lessThan">
      <formula>0</formula>
    </cfRule>
  </conditionalFormatting>
  <conditionalFormatting sqref="F79">
    <cfRule type="cellIs" dxfId="35" priority="76" operator="greaterThan">
      <formula>0</formula>
    </cfRule>
  </conditionalFormatting>
  <conditionalFormatting sqref="F79">
    <cfRule type="cellIs" dxfId="34" priority="75" operator="lessThan">
      <formula>0</formula>
    </cfRule>
  </conditionalFormatting>
  <conditionalFormatting sqref="G76:P77 H78:K78 M78 O78">
    <cfRule type="cellIs" dxfId="33" priority="86" operator="greaterThan">
      <formula>0</formula>
    </cfRule>
  </conditionalFormatting>
  <conditionalFormatting sqref="G76:R77 H78:K78 M78 O78 Q78:R78">
    <cfRule type="cellIs" dxfId="32" priority="85" operator="lessThan">
      <formula>0</formula>
    </cfRule>
  </conditionalFormatting>
  <conditionalFormatting sqref="E76:E77">
    <cfRule type="cellIs" dxfId="31" priority="84" operator="greaterThan">
      <formula>0</formula>
    </cfRule>
  </conditionalFormatting>
  <conditionalFormatting sqref="E76:E77">
    <cfRule type="cellIs" dxfId="30" priority="83" operator="lessThan">
      <formula>0</formula>
    </cfRule>
  </conditionalFormatting>
  <conditionalFormatting sqref="F76:F77">
    <cfRule type="cellIs" dxfId="29" priority="82" operator="greaterThan">
      <formula>0</formula>
    </cfRule>
  </conditionalFormatting>
  <conditionalFormatting sqref="F76:F77">
    <cfRule type="cellIs" dxfId="28" priority="81" operator="lessThan">
      <formula>0</formula>
    </cfRule>
  </conditionalFormatting>
  <conditionalFormatting sqref="D76:D78">
    <cfRule type="cellIs" dxfId="27" priority="68" operator="greaterThan">
      <formula>0</formula>
    </cfRule>
  </conditionalFormatting>
  <conditionalFormatting sqref="D76:D78">
    <cfRule type="cellIs" dxfId="26" priority="67" operator="lessThan">
      <formula>0</formula>
    </cfRule>
  </conditionalFormatting>
  <conditionalFormatting sqref="D79">
    <cfRule type="cellIs" dxfId="25" priority="66" operator="greaterThan">
      <formula>0</formula>
    </cfRule>
  </conditionalFormatting>
  <conditionalFormatting sqref="D79">
    <cfRule type="cellIs" dxfId="24" priority="65" operator="lessThan">
      <formula>0</formula>
    </cfRule>
  </conditionalFormatting>
  <conditionalFormatting sqref="D52 D64">
    <cfRule type="cellIs" dxfId="23" priority="74" operator="greaterThan">
      <formula>0</formula>
    </cfRule>
  </conditionalFormatting>
  <conditionalFormatting sqref="D52:D53 D64">
    <cfRule type="cellIs" dxfId="22" priority="73" operator="lessThan">
      <formula>0</formula>
    </cfRule>
  </conditionalFormatting>
  <conditionalFormatting sqref="D69">
    <cfRule type="cellIs" dxfId="21" priority="72" operator="greaterThan">
      <formula>0</formula>
    </cfRule>
  </conditionalFormatting>
  <conditionalFormatting sqref="D69">
    <cfRule type="cellIs" dxfId="20" priority="71" operator="lessThan">
      <formula>0</formula>
    </cfRule>
  </conditionalFormatting>
  <conditionalFormatting sqref="D87">
    <cfRule type="cellIs" dxfId="19" priority="58" operator="greaterThan">
      <formula>0</formula>
    </cfRule>
  </conditionalFormatting>
  <conditionalFormatting sqref="D87">
    <cfRule type="cellIs" dxfId="18" priority="57" operator="lessThan">
      <formula>0</formula>
    </cfRule>
  </conditionalFormatting>
  <conditionalFormatting sqref="E78:G78">
    <cfRule type="cellIs" dxfId="17" priority="36" operator="greaterThan">
      <formula>0</formula>
    </cfRule>
  </conditionalFormatting>
  <conditionalFormatting sqref="E78:G78">
    <cfRule type="cellIs" dxfId="16" priority="35" operator="lessThan">
      <formula>0</formula>
    </cfRule>
  </conditionalFormatting>
  <conditionalFormatting sqref="P78 N78 L78">
    <cfRule type="cellIs" dxfId="15" priority="34" operator="greaterThan">
      <formula>0</formula>
    </cfRule>
  </conditionalFormatting>
  <conditionalFormatting sqref="P78 N78 L78">
    <cfRule type="cellIs" dxfId="14" priority="33" operator="lessThan">
      <formula>0</formula>
    </cfRule>
  </conditionalFormatting>
  <conditionalFormatting sqref="G81:P81">
    <cfRule type="cellIs" dxfId="13" priority="16" operator="greaterThan">
      <formula>0</formula>
    </cfRule>
  </conditionalFormatting>
  <conditionalFormatting sqref="G81:R81">
    <cfRule type="cellIs" dxfId="12" priority="15" operator="lessThan">
      <formula>0</formula>
    </cfRule>
  </conditionalFormatting>
  <conditionalFormatting sqref="E81">
    <cfRule type="cellIs" dxfId="11" priority="14" operator="greaterThan">
      <formula>0</formula>
    </cfRule>
  </conditionalFormatting>
  <conditionalFormatting sqref="E81">
    <cfRule type="cellIs" dxfId="10" priority="13" operator="lessThan">
      <formula>0</formula>
    </cfRule>
  </conditionalFormatting>
  <conditionalFormatting sqref="D75">
    <cfRule type="cellIs" dxfId="9" priority="6" operator="lessThan">
      <formula>0</formula>
    </cfRule>
  </conditionalFormatting>
  <conditionalFormatting sqref="D75">
    <cfRule type="cellIs" dxfId="8" priority="5" operator="greaterThan">
      <formula>0</formula>
    </cfRule>
  </conditionalFormatting>
  <conditionalFormatting sqref="F81">
    <cfRule type="cellIs" dxfId="7" priority="12" operator="greaterThan">
      <formula>0</formula>
    </cfRule>
  </conditionalFormatting>
  <conditionalFormatting sqref="F81">
    <cfRule type="cellIs" dxfId="6" priority="11" operator="lessThan">
      <formula>0</formula>
    </cfRule>
  </conditionalFormatting>
  <conditionalFormatting sqref="D81">
    <cfRule type="cellIs" dxfId="5" priority="4" operator="greaterThan">
      <formula>0</formula>
    </cfRule>
  </conditionalFormatting>
  <conditionalFormatting sqref="D81">
    <cfRule type="cellIs" dxfId="4" priority="3" operator="lessThan">
      <formula>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9:X52"/>
  <sheetViews>
    <sheetView topLeftCell="A6" zoomScale="85" zoomScaleNormal="85" workbookViewId="0">
      <selection activeCell="I38" sqref="I38"/>
    </sheetView>
  </sheetViews>
  <sheetFormatPr defaultRowHeight="15"/>
  <cols>
    <col min="2" max="2" width="5.21875" bestFit="1" customWidth="1"/>
    <col min="3" max="3" width="2.77734375" customWidth="1"/>
    <col min="7" max="7" width="13.88671875" bestFit="1" customWidth="1"/>
    <col min="8" max="8" width="0" hidden="1" customWidth="1"/>
    <col min="9" max="9" width="20.109375" customWidth="1"/>
  </cols>
  <sheetData>
    <row r="9" spans="2:24" ht="15.75" thickBot="1"/>
    <row r="10" spans="2:24" ht="16.5" thickBot="1">
      <c r="B10" s="359" t="s">
        <v>230</v>
      </c>
      <c r="C10" s="359" t="s">
        <v>107</v>
      </c>
      <c r="D10" s="444" t="s">
        <v>89</v>
      </c>
      <c r="E10" s="445"/>
      <c r="F10" s="446"/>
      <c r="G10" s="359" t="s">
        <v>133</v>
      </c>
      <c r="H10" s="29" t="s">
        <v>129</v>
      </c>
      <c r="I10" s="29" t="s">
        <v>127</v>
      </c>
      <c r="K10" s="409" t="s">
        <v>89</v>
      </c>
      <c r="L10" s="410"/>
      <c r="M10" s="411"/>
      <c r="N10" s="27" t="s">
        <v>93</v>
      </c>
      <c r="V10" s="1"/>
      <c r="W10" s="1"/>
      <c r="X10" s="26">
        <v>2015</v>
      </c>
    </row>
    <row r="11" spans="2:24" ht="18.75" thickBot="1">
      <c r="B11" s="409"/>
      <c r="C11" s="411"/>
      <c r="D11" s="301" t="s">
        <v>90</v>
      </c>
      <c r="E11" s="302" t="s">
        <v>91</v>
      </c>
      <c r="F11" s="303" t="s">
        <v>92</v>
      </c>
      <c r="G11" s="384"/>
      <c r="H11" s="383"/>
      <c r="I11" s="384"/>
      <c r="K11" s="40" t="s">
        <v>90</v>
      </c>
      <c r="L11" s="41" t="s">
        <v>91</v>
      </c>
      <c r="M11" s="42" t="s">
        <v>92</v>
      </c>
      <c r="N11" s="27"/>
      <c r="V11" s="1"/>
      <c r="W11" s="385" t="s">
        <v>41</v>
      </c>
      <c r="X11" s="13"/>
    </row>
    <row r="12" spans="2:24" ht="15.75" hidden="1">
      <c r="B12" s="414" t="s">
        <v>103</v>
      </c>
      <c r="C12" s="360" t="s">
        <v>231</v>
      </c>
      <c r="D12" s="377">
        <v>3.3200466656631034</v>
      </c>
      <c r="E12" s="386">
        <v>3.3200466656631034</v>
      </c>
      <c r="F12" s="370">
        <v>0</v>
      </c>
      <c r="G12" s="67" t="s">
        <v>126</v>
      </c>
      <c r="H12" s="98">
        <v>0</v>
      </c>
      <c r="I12" s="363">
        <v>0</v>
      </c>
      <c r="K12" s="95">
        <v>0.78947368421052633</v>
      </c>
      <c r="L12" s="158"/>
      <c r="M12" s="154">
        <v>2.5305729814525773</v>
      </c>
      <c r="N12" s="147" t="s">
        <v>237</v>
      </c>
      <c r="V12" s="1"/>
      <c r="W12" s="3" t="s">
        <v>77</v>
      </c>
      <c r="X12" s="13">
        <v>500</v>
      </c>
    </row>
    <row r="13" spans="2:24" ht="16.5" hidden="1" thickBot="1">
      <c r="B13" s="415"/>
      <c r="C13" s="388" t="s">
        <v>232</v>
      </c>
      <c r="D13" s="112">
        <v>3.3170329670329664</v>
      </c>
      <c r="E13" s="113">
        <v>3.3170329670329664</v>
      </c>
      <c r="F13" s="114">
        <v>0</v>
      </c>
      <c r="G13" s="71" t="s">
        <v>126</v>
      </c>
      <c r="H13" s="104">
        <v>0</v>
      </c>
      <c r="I13" s="105">
        <v>0</v>
      </c>
      <c r="K13" s="378">
        <v>0.75</v>
      </c>
      <c r="L13" s="159"/>
      <c r="M13" s="380">
        <v>2.5670329670329664</v>
      </c>
      <c r="N13" s="148" t="s">
        <v>237</v>
      </c>
      <c r="V13" s="1"/>
      <c r="W13" s="3" t="s">
        <v>78</v>
      </c>
      <c r="X13" s="13">
        <v>1.3698630136986301</v>
      </c>
    </row>
    <row r="14" spans="2:24" ht="17.25" thickTop="1" thickBot="1">
      <c r="B14" s="415"/>
      <c r="C14" s="399" t="s">
        <v>233</v>
      </c>
      <c r="D14" s="390">
        <v>3.3197726930603642</v>
      </c>
      <c r="E14" s="391">
        <v>3.4</v>
      </c>
      <c r="F14" s="398">
        <v>8.0227306939635756E-2</v>
      </c>
      <c r="G14" s="373" t="s">
        <v>132</v>
      </c>
      <c r="H14" s="371">
        <v>214.98634653018212</v>
      </c>
      <c r="I14" s="381">
        <v>100</v>
      </c>
      <c r="J14" s="100">
        <v>3.3197999999999999</v>
      </c>
      <c r="K14" s="382">
        <v>0.6877202162916447</v>
      </c>
      <c r="L14" s="379"/>
      <c r="M14" s="382">
        <v>2.7122797837083552</v>
      </c>
      <c r="N14" s="120" t="s">
        <v>237</v>
      </c>
      <c r="V14" s="1"/>
      <c r="W14" s="2" t="s">
        <v>80</v>
      </c>
      <c r="X14" s="13">
        <v>2850</v>
      </c>
    </row>
    <row r="15" spans="2:24" ht="15.75" hidden="1">
      <c r="B15" s="415"/>
      <c r="C15" s="388" t="s">
        <v>234</v>
      </c>
      <c r="D15" s="375">
        <v>3.4</v>
      </c>
      <c r="E15" s="376">
        <v>3.4</v>
      </c>
      <c r="F15" s="367">
        <v>0</v>
      </c>
      <c r="G15" s="67" t="s">
        <v>126</v>
      </c>
      <c r="H15" s="104">
        <v>0</v>
      </c>
      <c r="I15" s="105">
        <v>0</v>
      </c>
      <c r="K15" s="377">
        <v>0.61100566100566089</v>
      </c>
      <c r="L15" s="159"/>
      <c r="M15" s="157">
        <v>2.788994338994339</v>
      </c>
      <c r="N15" s="148" t="s">
        <v>237</v>
      </c>
      <c r="V15" s="1"/>
      <c r="W15" s="2" t="s">
        <v>2</v>
      </c>
      <c r="X15" s="13">
        <v>1350</v>
      </c>
    </row>
    <row r="16" spans="2:24" ht="15.75" hidden="1">
      <c r="B16" s="415"/>
      <c r="C16" s="388" t="s">
        <v>235</v>
      </c>
      <c r="D16" s="101">
        <v>3.8</v>
      </c>
      <c r="E16" s="102">
        <v>3.8</v>
      </c>
      <c r="F16" s="103">
        <v>0</v>
      </c>
      <c r="G16" s="68" t="s">
        <v>126</v>
      </c>
      <c r="H16" s="104">
        <v>0</v>
      </c>
      <c r="I16" s="105">
        <v>0</v>
      </c>
      <c r="K16" s="101">
        <v>0.61100566100566089</v>
      </c>
      <c r="L16" s="159"/>
      <c r="M16" s="155">
        <v>3.1889943389943389</v>
      </c>
      <c r="N16" s="148" t="s">
        <v>237</v>
      </c>
      <c r="V16" s="1"/>
      <c r="W16" s="2" t="s">
        <v>3</v>
      </c>
      <c r="X16" s="13">
        <v>500</v>
      </c>
    </row>
    <row r="17" spans="2:24" ht="16.5" hidden="1" thickBot="1">
      <c r="B17" s="447"/>
      <c r="C17" s="389" t="s">
        <v>236</v>
      </c>
      <c r="D17" s="106">
        <v>3.8</v>
      </c>
      <c r="E17" s="107">
        <v>3.8</v>
      </c>
      <c r="F17" s="108">
        <v>0</v>
      </c>
      <c r="G17" s="69" t="s">
        <v>126</v>
      </c>
      <c r="H17" s="109">
        <v>0</v>
      </c>
      <c r="I17" s="110">
        <v>0</v>
      </c>
      <c r="K17" s="106">
        <v>0.54096193661411041</v>
      </c>
      <c r="L17" s="159"/>
      <c r="M17" s="156">
        <v>3.2590380633858893</v>
      </c>
      <c r="N17" s="149" t="s">
        <v>237</v>
      </c>
      <c r="V17" s="1"/>
      <c r="W17" s="2" t="s">
        <v>0</v>
      </c>
      <c r="X17" s="1">
        <v>48500</v>
      </c>
    </row>
    <row r="18" spans="2:24" ht="15.75" hidden="1">
      <c r="B18" s="448" t="s">
        <v>102</v>
      </c>
      <c r="C18" s="387" t="s">
        <v>231</v>
      </c>
      <c r="D18" s="95">
        <v>0.99372901608847419</v>
      </c>
      <c r="E18" s="96">
        <v>0.99372901608847419</v>
      </c>
      <c r="F18" s="358">
        <v>0</v>
      </c>
      <c r="G18" s="70" t="s">
        <v>126</v>
      </c>
      <c r="H18" s="111">
        <v>0</v>
      </c>
      <c r="I18" s="99">
        <v>0</v>
      </c>
      <c r="K18" s="95">
        <v>0.51724137931034486</v>
      </c>
      <c r="L18" s="159"/>
      <c r="M18" s="157">
        <v>0.47648763677812933</v>
      </c>
      <c r="N18" s="148" t="s">
        <v>237</v>
      </c>
      <c r="V18" s="1"/>
      <c r="W18" s="2" t="s">
        <v>83</v>
      </c>
      <c r="X18" s="24">
        <v>132.87671232876713</v>
      </c>
    </row>
    <row r="19" spans="2:24" ht="16.5" hidden="1" thickBot="1">
      <c r="B19" s="415"/>
      <c r="C19" s="388" t="s">
        <v>232</v>
      </c>
      <c r="D19" s="101">
        <v>0.99261283141064571</v>
      </c>
      <c r="E19" s="102">
        <v>0.99261283141064571</v>
      </c>
      <c r="F19" s="114">
        <v>0</v>
      </c>
      <c r="G19" s="71" t="s">
        <v>126</v>
      </c>
      <c r="H19" s="104">
        <v>0</v>
      </c>
      <c r="I19" s="105">
        <v>0</v>
      </c>
      <c r="K19" s="101">
        <v>0.49994535519125688</v>
      </c>
      <c r="L19" s="159"/>
      <c r="M19" s="155">
        <v>0.49266747621938883</v>
      </c>
      <c r="N19" s="148" t="s">
        <v>237</v>
      </c>
      <c r="V19" s="1"/>
      <c r="W19" s="2" t="s">
        <v>81</v>
      </c>
      <c r="X19" s="13">
        <v>600</v>
      </c>
    </row>
    <row r="20" spans="2:24" ht="17.25" thickTop="1" thickBot="1">
      <c r="B20" s="415"/>
      <c r="C20" s="393" t="s">
        <v>233</v>
      </c>
      <c r="D20" s="101">
        <v>0.99362754475412629</v>
      </c>
      <c r="E20" s="364">
        <v>1.1528868040133855</v>
      </c>
      <c r="F20" s="394">
        <v>0.15925925925925921</v>
      </c>
      <c r="G20" s="373" t="s">
        <v>132</v>
      </c>
      <c r="H20" s="371">
        <v>215.03718541807032</v>
      </c>
      <c r="I20" s="381">
        <v>100</v>
      </c>
      <c r="J20" s="100">
        <v>0.99360000000000015</v>
      </c>
      <c r="K20" s="101">
        <v>0.45156002115282923</v>
      </c>
      <c r="L20" s="159"/>
      <c r="M20" s="155">
        <v>0.70132678286055627</v>
      </c>
      <c r="N20" s="148" t="s">
        <v>237</v>
      </c>
      <c r="V20" s="1"/>
      <c r="W20" s="2" t="s">
        <v>82</v>
      </c>
      <c r="X20" s="13">
        <v>900</v>
      </c>
    </row>
    <row r="21" spans="2:24" ht="16.5" hidden="1" thickBot="1">
      <c r="B21" s="415"/>
      <c r="C21" s="388" t="s">
        <v>234</v>
      </c>
      <c r="D21" s="101">
        <v>1.2142857142857142</v>
      </c>
      <c r="E21" s="102">
        <v>1.2142857142857142</v>
      </c>
      <c r="F21" s="368">
        <v>0</v>
      </c>
      <c r="G21" s="369" t="s">
        <v>126</v>
      </c>
      <c r="H21" s="104">
        <v>0</v>
      </c>
      <c r="I21" s="105">
        <v>0</v>
      </c>
      <c r="K21" s="101">
        <v>0.45156002115282923</v>
      </c>
      <c r="L21" s="159"/>
      <c r="M21" s="155">
        <v>0.76272569313288496</v>
      </c>
      <c r="N21" s="148" t="s">
        <v>237</v>
      </c>
      <c r="V21" s="1"/>
      <c r="W21" s="2" t="s">
        <v>1</v>
      </c>
      <c r="X21" s="13">
        <v>400</v>
      </c>
    </row>
    <row r="22" spans="2:24" ht="16.5" hidden="1" thickBot="1">
      <c r="B22" s="415"/>
      <c r="C22" s="388" t="s">
        <v>235</v>
      </c>
      <c r="D22" s="101">
        <v>1.3099020991733772</v>
      </c>
      <c r="E22" s="364">
        <v>1.3571428571428572</v>
      </c>
      <c r="F22" s="394">
        <v>4.7240757969480018E-2</v>
      </c>
      <c r="G22" s="373" t="s">
        <v>132</v>
      </c>
      <c r="H22" s="371">
        <v>215.00293884272804</v>
      </c>
      <c r="I22" s="105">
        <v>100</v>
      </c>
      <c r="K22" s="101">
        <v>0.40619877049180331</v>
      </c>
      <c r="L22" s="159"/>
      <c r="M22" s="155">
        <v>0.9509440866510539</v>
      </c>
      <c r="N22" s="148" t="s">
        <v>237</v>
      </c>
      <c r="V22" s="1"/>
      <c r="W22" s="2" t="s">
        <v>116</v>
      </c>
      <c r="X22" s="47">
        <v>4</v>
      </c>
    </row>
    <row r="23" spans="2:24" ht="16.5" hidden="1" thickBot="1">
      <c r="B23" s="447"/>
      <c r="C23" s="389" t="s">
        <v>236</v>
      </c>
      <c r="D23" s="112">
        <v>1.3236007293103633</v>
      </c>
      <c r="E23" s="365">
        <v>1.3571428571428572</v>
      </c>
      <c r="F23" s="395">
        <v>3.3542127832493884E-2</v>
      </c>
      <c r="G23" s="396" t="s">
        <v>132</v>
      </c>
      <c r="H23" s="372">
        <v>215.00102103450837</v>
      </c>
      <c r="I23" s="110">
        <v>100</v>
      </c>
      <c r="K23" s="106">
        <v>0.36358668653750625</v>
      </c>
      <c r="L23" s="159"/>
      <c r="M23" s="156">
        <v>0.99355617060535095</v>
      </c>
      <c r="N23" s="149" t="s">
        <v>237</v>
      </c>
      <c r="V23" s="1"/>
      <c r="W23" s="2" t="s">
        <v>117</v>
      </c>
      <c r="X23" s="13">
        <v>5</v>
      </c>
    </row>
    <row r="24" spans="2:24" ht="15.75" hidden="1">
      <c r="B24" s="448" t="s">
        <v>101</v>
      </c>
      <c r="C24" s="387" t="s">
        <v>231</v>
      </c>
      <c r="D24" s="95">
        <v>0.18803816046966729</v>
      </c>
      <c r="E24" s="96">
        <v>0.18803816046966729</v>
      </c>
      <c r="F24" s="370">
        <v>0</v>
      </c>
      <c r="G24" s="67" t="s">
        <v>126</v>
      </c>
      <c r="H24" s="98">
        <v>0</v>
      </c>
      <c r="I24" s="363">
        <v>0</v>
      </c>
      <c r="K24" s="95">
        <v>0.12764227642276416</v>
      </c>
      <c r="L24" s="159"/>
      <c r="M24" s="157">
        <v>6.0395884046903131E-2</v>
      </c>
      <c r="N24" s="148" t="s">
        <v>237</v>
      </c>
      <c r="V24" s="1"/>
      <c r="W24" s="21" t="s">
        <v>4</v>
      </c>
      <c r="X24" s="13"/>
    </row>
    <row r="25" spans="2:24" ht="16.5" hidden="1" thickBot="1">
      <c r="B25" s="415"/>
      <c r="C25" s="388" t="s">
        <v>232</v>
      </c>
      <c r="D25" s="101">
        <v>0.16666666666666666</v>
      </c>
      <c r="E25" s="102">
        <v>0.16666666666666666</v>
      </c>
      <c r="F25" s="114">
        <v>0</v>
      </c>
      <c r="G25" s="71" t="s">
        <v>126</v>
      </c>
      <c r="H25" s="104">
        <v>0</v>
      </c>
      <c r="I25" s="105">
        <v>0</v>
      </c>
      <c r="K25" s="101">
        <v>0.10079365079365073</v>
      </c>
      <c r="L25" s="159"/>
      <c r="M25" s="155">
        <v>6.587301587301593E-2</v>
      </c>
      <c r="N25" s="148" t="s">
        <v>237</v>
      </c>
      <c r="V25" s="4" t="s">
        <v>5</v>
      </c>
      <c r="W25" s="2" t="s">
        <v>7</v>
      </c>
      <c r="X25" s="14">
        <v>600</v>
      </c>
    </row>
    <row r="26" spans="2:24" ht="17.25" thickTop="1" thickBot="1">
      <c r="B26" s="415"/>
      <c r="C26" s="389" t="s">
        <v>233</v>
      </c>
      <c r="D26" s="106">
        <v>0.16714732035568375</v>
      </c>
      <c r="E26" s="366">
        <v>0.24258591684691183</v>
      </c>
      <c r="F26" s="395">
        <v>7.5438596491228083E-2</v>
      </c>
      <c r="G26" s="373" t="s">
        <v>132</v>
      </c>
      <c r="H26" s="371">
        <v>214.9948630136987</v>
      </c>
      <c r="I26" s="381">
        <v>100</v>
      </c>
      <c r="J26" s="100">
        <v>0.16714912280701755</v>
      </c>
      <c r="K26" s="101">
        <v>7.5193798449612326E-2</v>
      </c>
      <c r="L26" s="159"/>
      <c r="M26" s="155">
        <v>0.16739211839729951</v>
      </c>
      <c r="N26" s="148" t="s">
        <v>237</v>
      </c>
      <c r="V26" s="4" t="s">
        <v>5</v>
      </c>
      <c r="W26" s="2" t="s">
        <v>8</v>
      </c>
      <c r="X26" s="14">
        <v>250</v>
      </c>
    </row>
    <row r="27" spans="2:24" ht="16.5" hidden="1" thickBot="1">
      <c r="B27" s="415"/>
      <c r="C27" s="361" t="s">
        <v>234</v>
      </c>
      <c r="D27" s="377">
        <v>0.32652338214454424</v>
      </c>
      <c r="E27" s="392">
        <v>0.40066131317902687</v>
      </c>
      <c r="F27" s="397">
        <v>7.4137931034482629E-2</v>
      </c>
      <c r="G27" s="373" t="s">
        <v>132</v>
      </c>
      <c r="H27" s="371">
        <v>214.87780821917787</v>
      </c>
      <c r="I27" s="105">
        <v>100</v>
      </c>
      <c r="O27" s="101">
        <v>5.0757575757575689E-2</v>
      </c>
      <c r="P27" s="159"/>
      <c r="Q27" s="155">
        <v>0.3499037374214512</v>
      </c>
      <c r="R27" s="148" t="s">
        <v>237</v>
      </c>
      <c r="V27" s="4" t="s">
        <v>5</v>
      </c>
      <c r="W27" s="10" t="s">
        <v>9</v>
      </c>
      <c r="X27" s="15">
        <v>100</v>
      </c>
    </row>
    <row r="28" spans="2:24" ht="16.5" hidden="1" thickBot="1">
      <c r="B28" s="415"/>
      <c r="C28" s="361" t="s">
        <v>235</v>
      </c>
      <c r="D28" s="101">
        <v>0.33408124704770908</v>
      </c>
      <c r="E28" s="364">
        <v>0.40821917808219182</v>
      </c>
      <c r="F28" s="394">
        <v>7.413793103448274E-2</v>
      </c>
      <c r="G28" s="373" t="s">
        <v>132</v>
      </c>
      <c r="H28" s="371">
        <v>215.0356164383563</v>
      </c>
      <c r="I28" s="105">
        <v>100</v>
      </c>
      <c r="O28" s="101">
        <v>2.7407407407407339E-2</v>
      </c>
      <c r="P28" s="159"/>
      <c r="Q28" s="155">
        <v>0.3808117706747845</v>
      </c>
      <c r="R28" s="148" t="s">
        <v>237</v>
      </c>
      <c r="V28" s="9" t="s">
        <v>6</v>
      </c>
      <c r="W28" s="12" t="s">
        <v>11</v>
      </c>
      <c r="X28" s="16">
        <v>0</v>
      </c>
    </row>
    <row r="29" spans="2:24" ht="16.5" hidden="1" thickBot="1">
      <c r="B29" s="416"/>
      <c r="C29" s="362" t="s">
        <v>236</v>
      </c>
      <c r="D29" s="106">
        <v>0.31797074529835145</v>
      </c>
      <c r="E29" s="366">
        <v>0.39085210123055486</v>
      </c>
      <c r="F29" s="395">
        <v>7.2881355932203407E-2</v>
      </c>
      <c r="G29" s="396" t="s">
        <v>132</v>
      </c>
      <c r="H29" s="372">
        <v>215.01369863013682</v>
      </c>
      <c r="I29" s="110">
        <v>100</v>
      </c>
      <c r="O29" s="153">
        <v>5.0724637681158757E-3</v>
      </c>
      <c r="P29" s="374"/>
      <c r="Q29" s="156">
        <v>0.38577963746243898</v>
      </c>
      <c r="R29" s="149" t="s">
        <v>237</v>
      </c>
      <c r="V29" s="5"/>
      <c r="W29" s="5"/>
      <c r="X29" s="18"/>
    </row>
    <row r="30" spans="2:24" ht="15.75">
      <c r="V30" s="1"/>
      <c r="W30" s="21" t="s">
        <v>12</v>
      </c>
      <c r="X30" s="18"/>
    </row>
    <row r="31" spans="2:24" ht="15.75">
      <c r="V31" s="1"/>
      <c r="W31" s="5"/>
      <c r="X31" s="14" t="s">
        <v>18</v>
      </c>
    </row>
    <row r="32" spans="2:24" ht="15.75">
      <c r="V32" s="1"/>
      <c r="W32" s="21" t="s">
        <v>13</v>
      </c>
      <c r="X32" s="18"/>
    </row>
    <row r="33" spans="3:24" ht="15.75">
      <c r="C33" s="311"/>
      <c r="D33" s="311"/>
      <c r="V33" s="4" t="s">
        <v>5</v>
      </c>
      <c r="W33" s="5" t="s">
        <v>10</v>
      </c>
      <c r="X33" s="18">
        <v>800</v>
      </c>
    </row>
    <row r="34" spans="3:24" ht="15.75">
      <c r="C34" s="311"/>
      <c r="D34" s="311"/>
      <c r="V34" s="1"/>
      <c r="W34" s="22" t="s">
        <v>14</v>
      </c>
      <c r="X34" s="18"/>
    </row>
    <row r="35" spans="3:24" ht="15.75">
      <c r="C35" s="311"/>
      <c r="D35" s="311"/>
      <c r="V35" s="9" t="s">
        <v>6</v>
      </c>
      <c r="W35" s="5" t="s">
        <v>19</v>
      </c>
      <c r="X35" s="18">
        <v>700</v>
      </c>
    </row>
    <row r="36" spans="3:24" ht="15.75">
      <c r="C36" s="311"/>
      <c r="D36" s="311"/>
      <c r="V36" s="1"/>
      <c r="W36" s="21" t="s">
        <v>15</v>
      </c>
      <c r="X36" s="18"/>
    </row>
    <row r="37" spans="3:24">
      <c r="C37" s="311"/>
      <c r="D37" s="311"/>
      <c r="V37" s="1"/>
      <c r="W37" s="1"/>
      <c r="X37" s="18" t="s">
        <v>18</v>
      </c>
    </row>
    <row r="38" spans="3:24" ht="15.75">
      <c r="C38" s="311"/>
      <c r="D38" s="311"/>
      <c r="I38" s="151" t="s">
        <v>238</v>
      </c>
      <c r="V38" s="1"/>
      <c r="W38" s="21" t="s">
        <v>65</v>
      </c>
      <c r="X38" s="18"/>
    </row>
    <row r="39" spans="3:24" ht="15.75">
      <c r="C39" s="311"/>
      <c r="D39" s="311"/>
      <c r="V39" s="4" t="s">
        <v>5</v>
      </c>
      <c r="W39" s="5" t="s">
        <v>16</v>
      </c>
      <c r="X39" s="18">
        <v>250</v>
      </c>
    </row>
    <row r="40" spans="3:24" ht="15.75">
      <c r="C40" s="311"/>
      <c r="D40" s="311"/>
      <c r="V40" s="9" t="s">
        <v>6</v>
      </c>
      <c r="W40" s="5" t="s">
        <v>17</v>
      </c>
      <c r="X40" s="18">
        <v>1000</v>
      </c>
    </row>
    <row r="41" spans="3:24" ht="15.75">
      <c r="C41" s="311"/>
      <c r="D41" s="311"/>
      <c r="V41" s="1"/>
      <c r="W41" s="21" t="s">
        <v>23</v>
      </c>
      <c r="X41" s="18"/>
    </row>
    <row r="42" spans="3:24" ht="15.75">
      <c r="C42" s="311"/>
      <c r="D42" s="311"/>
      <c r="V42" s="4" t="s">
        <v>5</v>
      </c>
      <c r="W42" s="5" t="s">
        <v>17</v>
      </c>
      <c r="X42" s="18">
        <v>200</v>
      </c>
    </row>
    <row r="43" spans="3:24" ht="15.75">
      <c r="C43" s="311"/>
      <c r="D43" s="311"/>
      <c r="V43" s="9" t="s">
        <v>6</v>
      </c>
      <c r="W43" s="5" t="s">
        <v>20</v>
      </c>
      <c r="X43" s="18">
        <v>800</v>
      </c>
    </row>
    <row r="44" spans="3:24" ht="15.75">
      <c r="C44" s="311"/>
      <c r="D44" s="311"/>
      <c r="V44" s="7"/>
      <c r="W44" s="21" t="s">
        <v>29</v>
      </c>
      <c r="X44" s="18"/>
    </row>
    <row r="45" spans="3:24" ht="15.75">
      <c r="C45" s="311"/>
      <c r="D45" s="311"/>
      <c r="V45" s="4" t="s">
        <v>5</v>
      </c>
      <c r="W45" s="5" t="s">
        <v>21</v>
      </c>
      <c r="X45" s="18">
        <v>600</v>
      </c>
    </row>
    <row r="46" spans="3:24" ht="15.75">
      <c r="V46" s="8"/>
      <c r="W46" s="21" t="s">
        <v>72</v>
      </c>
      <c r="X46" s="18"/>
    </row>
    <row r="47" spans="3:24" ht="15.75">
      <c r="V47" s="4" t="s">
        <v>1</v>
      </c>
      <c r="W47" s="6" t="s">
        <v>24</v>
      </c>
      <c r="X47" s="18">
        <v>400</v>
      </c>
    </row>
    <row r="48" spans="3:24" ht="15.75">
      <c r="V48" s="4" t="s">
        <v>1</v>
      </c>
      <c r="W48" s="11" t="s">
        <v>25</v>
      </c>
      <c r="X48" s="19">
        <v>0</v>
      </c>
    </row>
    <row r="49" spans="22:24">
      <c r="V49" s="49" t="s">
        <v>115</v>
      </c>
      <c r="W49" s="1"/>
      <c r="X49" s="51">
        <v>2700</v>
      </c>
    </row>
    <row r="50" spans="22:24" ht="15.75">
      <c r="V50" s="49" t="s">
        <v>118</v>
      </c>
      <c r="W50" s="5"/>
      <c r="X50" s="50">
        <v>2800</v>
      </c>
    </row>
    <row r="51" spans="22:24" ht="15.75">
      <c r="V51" s="49" t="s">
        <v>113</v>
      </c>
      <c r="W51" s="5"/>
      <c r="X51" s="50">
        <v>1700</v>
      </c>
    </row>
    <row r="52" spans="22:24" ht="15.75">
      <c r="V52" s="49" t="s">
        <v>114</v>
      </c>
      <c r="W52" s="5"/>
      <c r="X52" s="50">
        <v>400</v>
      </c>
    </row>
  </sheetData>
  <mergeCells count="6">
    <mergeCell ref="K10:M10"/>
    <mergeCell ref="D10:F10"/>
    <mergeCell ref="B12:B17"/>
    <mergeCell ref="B18:B23"/>
    <mergeCell ref="B24:B29"/>
    <mergeCell ref="B11:C11"/>
  </mergeCells>
  <conditionalFormatting sqref="G12:G29">
    <cfRule type="cellIs" dxfId="3" priority="3" operator="equal">
      <formula>"Alloc Possible"</formula>
    </cfRule>
    <cfRule type="cellIs" dxfId="2" priority="4" operator="equal">
      <formula>"Not Possible"</formula>
    </cfRule>
  </conditionalFormatting>
  <conditionalFormatting sqref="R27:R29 N12:N26">
    <cfRule type="cellIs" dxfId="1" priority="1" operator="equal">
      <formula>"No Need"</formula>
    </cfRule>
    <cfRule type="cellIs" dxfId="0" priority="2" operator="equal">
      <formula>"NEED"</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vt:lpstr>
      <vt:lpstr>Indicators</vt:lpstr>
      <vt:lpstr>Monetary Analysis</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Balogh</dc:creator>
  <cp:lastModifiedBy>Adam Balogh</cp:lastModifiedBy>
  <dcterms:created xsi:type="dcterms:W3CDTF">2013-10-28T13:07:43Z</dcterms:created>
  <dcterms:modified xsi:type="dcterms:W3CDTF">2013-11-22T10:55:47Z</dcterms:modified>
</cp:coreProperties>
</file>